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Ömer Büyükçınar\Desktop\EKUAL\proquest\2021-2023-PROQUEST\"/>
    </mc:Choice>
  </mc:AlternateContent>
  <bookViews>
    <workbookView xWindow="-105" yWindow="-105" windowWidth="19425" windowHeight="10425"/>
  </bookViews>
  <sheets>
    <sheet name="Ebook Central Open Access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 l="1"/>
  <c r="D2" i="1"/>
  <c r="C3" i="1"/>
  <c r="D3" i="1"/>
  <c r="C4" i="1"/>
  <c r="D4" i="1"/>
  <c r="C5" i="1"/>
  <c r="D5" i="1"/>
  <c r="C6" i="1"/>
  <c r="D6" i="1"/>
  <c r="C7" i="1"/>
  <c r="D7" i="1"/>
  <c r="C8" i="1"/>
  <c r="D8" i="1"/>
  <c r="C9" i="1"/>
  <c r="D9" i="1"/>
  <c r="C10" i="1"/>
  <c r="D10" i="1"/>
  <c r="C11" i="1"/>
  <c r="D11" i="1"/>
  <c r="C12" i="1"/>
  <c r="D12" i="1"/>
  <c r="C13" i="1"/>
  <c r="D13" i="1"/>
  <c r="C14" i="1"/>
  <c r="D14" i="1"/>
  <c r="C15" i="1"/>
  <c r="D15" i="1"/>
  <c r="C16" i="1"/>
  <c r="D16" i="1"/>
  <c r="C17" i="1"/>
  <c r="D17" i="1"/>
  <c r="C18" i="1"/>
  <c r="D18" i="1"/>
  <c r="C19" i="1"/>
  <c r="D19" i="1"/>
  <c r="C20" i="1"/>
  <c r="D20" i="1"/>
  <c r="C21" i="1"/>
  <c r="D21" i="1"/>
  <c r="C22" i="1"/>
  <c r="D22" i="1"/>
  <c r="C23" i="1"/>
  <c r="D23" i="1"/>
  <c r="C24" i="1"/>
  <c r="D24" i="1"/>
  <c r="C25" i="1"/>
  <c r="D25" i="1"/>
  <c r="C26" i="1"/>
  <c r="D26" i="1"/>
  <c r="C27" i="1"/>
  <c r="D27" i="1"/>
  <c r="C28" i="1"/>
  <c r="D28" i="1"/>
  <c r="C29" i="1"/>
  <c r="D29" i="1"/>
  <c r="C30" i="1"/>
  <c r="D30" i="1"/>
  <c r="C31" i="1"/>
  <c r="D31" i="1"/>
  <c r="C32" i="1"/>
  <c r="D32" i="1"/>
  <c r="C33" i="1"/>
  <c r="D33" i="1"/>
  <c r="C34" i="1"/>
  <c r="D34" i="1"/>
  <c r="C35" i="1"/>
  <c r="D35" i="1"/>
  <c r="C36" i="1"/>
  <c r="D36" i="1"/>
  <c r="C37" i="1"/>
  <c r="D37" i="1"/>
  <c r="C38" i="1"/>
  <c r="D38" i="1"/>
  <c r="C39" i="1"/>
  <c r="D39" i="1"/>
  <c r="C40" i="1"/>
  <c r="D40" i="1"/>
  <c r="C41" i="1"/>
  <c r="D41" i="1"/>
  <c r="C42" i="1"/>
  <c r="D42" i="1"/>
  <c r="C43" i="1"/>
  <c r="D43" i="1"/>
  <c r="C44" i="1"/>
  <c r="D44" i="1"/>
  <c r="C45" i="1"/>
  <c r="D45" i="1"/>
  <c r="C46" i="1"/>
  <c r="D46" i="1"/>
  <c r="C47" i="1"/>
  <c r="D47" i="1"/>
  <c r="C48" i="1"/>
  <c r="D48" i="1"/>
  <c r="C49" i="1"/>
  <c r="D49" i="1"/>
  <c r="C50" i="1"/>
  <c r="D50" i="1"/>
  <c r="C51" i="1"/>
  <c r="D51" i="1"/>
  <c r="C52" i="1"/>
  <c r="D52" i="1"/>
  <c r="C53" i="1"/>
  <c r="D53" i="1"/>
  <c r="C54" i="1"/>
  <c r="D54" i="1"/>
  <c r="C55" i="1"/>
  <c r="D55" i="1"/>
  <c r="C56" i="1"/>
  <c r="D56" i="1"/>
  <c r="C57" i="1"/>
  <c r="D57" i="1"/>
  <c r="C58" i="1"/>
  <c r="D58" i="1"/>
  <c r="C59" i="1"/>
  <c r="D59" i="1"/>
  <c r="C60" i="1"/>
  <c r="D60" i="1"/>
  <c r="C61" i="1"/>
  <c r="D61" i="1"/>
  <c r="C62" i="1"/>
  <c r="D62" i="1"/>
  <c r="C63" i="1"/>
  <c r="D63" i="1"/>
  <c r="C64" i="1"/>
  <c r="D64" i="1"/>
  <c r="C65" i="1"/>
  <c r="D65" i="1"/>
  <c r="C66" i="1"/>
  <c r="D66" i="1"/>
  <c r="C67" i="1"/>
  <c r="D67" i="1"/>
  <c r="C68" i="1"/>
  <c r="D68" i="1"/>
  <c r="C69" i="1"/>
  <c r="D69" i="1"/>
  <c r="C70" i="1"/>
  <c r="D70" i="1"/>
  <c r="C71" i="1"/>
  <c r="D71" i="1"/>
  <c r="C72" i="1"/>
  <c r="D72" i="1"/>
  <c r="C73" i="1"/>
  <c r="D73" i="1"/>
  <c r="C74" i="1"/>
  <c r="D74" i="1"/>
  <c r="C75" i="1"/>
  <c r="D75" i="1"/>
  <c r="C76" i="1"/>
  <c r="D76" i="1"/>
  <c r="C77" i="1"/>
  <c r="D77" i="1"/>
  <c r="C78" i="1"/>
  <c r="D78" i="1"/>
  <c r="C79" i="1"/>
  <c r="D79" i="1"/>
  <c r="C80" i="1"/>
  <c r="D80" i="1"/>
  <c r="C81" i="1"/>
  <c r="D81" i="1"/>
  <c r="C82" i="1"/>
  <c r="D82" i="1"/>
  <c r="C83" i="1"/>
  <c r="D83" i="1"/>
  <c r="C84" i="1"/>
  <c r="D84" i="1"/>
  <c r="C85" i="1"/>
  <c r="D85" i="1"/>
  <c r="C86" i="1"/>
  <c r="D86" i="1"/>
  <c r="C87" i="1"/>
  <c r="D87" i="1"/>
  <c r="C88" i="1"/>
  <c r="D88" i="1"/>
  <c r="C89" i="1"/>
  <c r="D89" i="1"/>
  <c r="C90" i="1"/>
  <c r="D90" i="1"/>
  <c r="C91" i="1"/>
  <c r="D91" i="1"/>
  <c r="C92" i="1"/>
  <c r="D92" i="1"/>
  <c r="C93" i="1"/>
  <c r="D93" i="1"/>
  <c r="C94" i="1"/>
  <c r="D94" i="1"/>
  <c r="C95" i="1"/>
  <c r="D95" i="1"/>
  <c r="C96" i="1"/>
  <c r="D96" i="1"/>
  <c r="C97" i="1"/>
  <c r="D97" i="1"/>
  <c r="C98" i="1"/>
  <c r="D98" i="1"/>
  <c r="C99" i="1"/>
  <c r="D99" i="1"/>
  <c r="C100" i="1"/>
  <c r="D100" i="1"/>
  <c r="C101" i="1"/>
  <c r="D101" i="1"/>
  <c r="C102" i="1"/>
  <c r="D102" i="1"/>
  <c r="C103" i="1"/>
  <c r="D103" i="1"/>
  <c r="C104" i="1"/>
  <c r="D104" i="1"/>
  <c r="C105" i="1"/>
  <c r="D105" i="1"/>
  <c r="C106" i="1"/>
  <c r="D106" i="1"/>
  <c r="C107" i="1"/>
  <c r="D107" i="1"/>
  <c r="C108" i="1"/>
  <c r="D108" i="1"/>
  <c r="C109" i="1"/>
  <c r="D109" i="1"/>
  <c r="C110" i="1"/>
  <c r="D110" i="1"/>
  <c r="C111" i="1"/>
  <c r="D111" i="1"/>
  <c r="C112" i="1"/>
  <c r="D112" i="1"/>
  <c r="C113" i="1"/>
  <c r="D113" i="1"/>
  <c r="C114" i="1"/>
  <c r="D114" i="1"/>
  <c r="C115" i="1"/>
  <c r="D115" i="1"/>
  <c r="C116" i="1"/>
  <c r="D116" i="1"/>
  <c r="C117" i="1"/>
  <c r="D117" i="1"/>
  <c r="C118" i="1"/>
  <c r="D118" i="1"/>
  <c r="C119" i="1"/>
  <c r="D119" i="1"/>
  <c r="C120" i="1"/>
  <c r="D120" i="1"/>
  <c r="C121" i="1"/>
  <c r="D121" i="1"/>
  <c r="C122" i="1"/>
  <c r="D122" i="1"/>
  <c r="C123" i="1"/>
  <c r="D123" i="1"/>
  <c r="C124" i="1"/>
  <c r="D124" i="1"/>
  <c r="C125" i="1"/>
  <c r="D125" i="1"/>
  <c r="C126" i="1"/>
  <c r="D126" i="1"/>
  <c r="C127" i="1"/>
  <c r="D127" i="1"/>
  <c r="C128" i="1"/>
  <c r="D128" i="1"/>
  <c r="C129" i="1"/>
  <c r="D129" i="1"/>
  <c r="C130" i="1"/>
  <c r="D130" i="1"/>
  <c r="C131" i="1"/>
  <c r="D131" i="1"/>
  <c r="C132" i="1"/>
  <c r="D132" i="1"/>
  <c r="C133" i="1"/>
  <c r="D133" i="1"/>
  <c r="C134" i="1"/>
  <c r="D134" i="1"/>
  <c r="C135" i="1"/>
  <c r="D135" i="1"/>
  <c r="C136" i="1"/>
  <c r="D136" i="1"/>
  <c r="C137" i="1"/>
  <c r="D137" i="1"/>
  <c r="C138" i="1"/>
  <c r="D138" i="1"/>
  <c r="C139" i="1"/>
  <c r="D139" i="1"/>
  <c r="C140" i="1"/>
  <c r="D140" i="1"/>
  <c r="C141" i="1"/>
  <c r="D141" i="1"/>
  <c r="C142" i="1"/>
  <c r="D142" i="1"/>
  <c r="C143" i="1"/>
  <c r="D143" i="1"/>
  <c r="C144" i="1"/>
  <c r="D144" i="1"/>
  <c r="C145" i="1"/>
  <c r="D145" i="1"/>
  <c r="C146" i="1"/>
  <c r="D146" i="1"/>
  <c r="C147" i="1"/>
  <c r="D147" i="1"/>
  <c r="C148" i="1"/>
  <c r="D148" i="1"/>
  <c r="C149" i="1"/>
  <c r="D149" i="1"/>
  <c r="C150" i="1"/>
  <c r="D150" i="1"/>
  <c r="C151" i="1"/>
  <c r="D151" i="1"/>
  <c r="C152" i="1"/>
  <c r="D152" i="1"/>
  <c r="C153" i="1"/>
  <c r="D153" i="1"/>
  <c r="C154" i="1"/>
  <c r="D154" i="1"/>
  <c r="C155" i="1"/>
  <c r="D155" i="1"/>
  <c r="C156" i="1"/>
  <c r="D156" i="1"/>
  <c r="C157" i="1"/>
  <c r="D157" i="1"/>
  <c r="C158" i="1"/>
  <c r="D158" i="1"/>
  <c r="C159" i="1"/>
  <c r="D159" i="1"/>
  <c r="C160" i="1"/>
  <c r="D160" i="1"/>
  <c r="C161" i="1"/>
  <c r="D161" i="1"/>
  <c r="C162" i="1"/>
  <c r="D162" i="1"/>
  <c r="C163" i="1"/>
  <c r="D163" i="1"/>
  <c r="C164" i="1"/>
  <c r="D164" i="1"/>
  <c r="C165" i="1"/>
  <c r="D165" i="1"/>
  <c r="C166" i="1"/>
  <c r="D166" i="1"/>
  <c r="C167" i="1"/>
  <c r="D167" i="1"/>
  <c r="C168" i="1"/>
  <c r="D168" i="1"/>
  <c r="C169" i="1"/>
  <c r="D169" i="1"/>
  <c r="C170" i="1"/>
  <c r="D170" i="1"/>
  <c r="C171" i="1"/>
  <c r="D171" i="1"/>
  <c r="C172" i="1"/>
  <c r="D172" i="1"/>
  <c r="C173" i="1"/>
  <c r="D173" i="1"/>
  <c r="C174" i="1"/>
  <c r="D174" i="1"/>
  <c r="C175" i="1"/>
  <c r="D175" i="1"/>
  <c r="C176" i="1"/>
  <c r="D176" i="1"/>
  <c r="C177" i="1"/>
  <c r="D177" i="1"/>
  <c r="C178" i="1"/>
  <c r="D178" i="1"/>
  <c r="C179" i="1"/>
  <c r="D179" i="1"/>
  <c r="C180" i="1"/>
  <c r="D180" i="1"/>
  <c r="C181" i="1"/>
  <c r="D181" i="1"/>
  <c r="C182" i="1"/>
  <c r="D182" i="1"/>
  <c r="C183" i="1"/>
  <c r="D183" i="1"/>
  <c r="C184" i="1"/>
  <c r="D184" i="1"/>
  <c r="C185" i="1"/>
  <c r="D185" i="1"/>
  <c r="C186" i="1"/>
  <c r="D186" i="1"/>
  <c r="C187" i="1"/>
  <c r="D187" i="1"/>
  <c r="C188" i="1"/>
  <c r="D188" i="1"/>
  <c r="C189" i="1"/>
  <c r="D189" i="1"/>
  <c r="C190" i="1"/>
  <c r="D190" i="1"/>
  <c r="C191" i="1"/>
  <c r="D191" i="1"/>
  <c r="C192" i="1"/>
  <c r="D192" i="1"/>
  <c r="C193" i="1"/>
  <c r="D193" i="1"/>
  <c r="C194" i="1"/>
  <c r="D194" i="1"/>
  <c r="C195" i="1"/>
  <c r="D195" i="1"/>
  <c r="C196" i="1"/>
  <c r="D196" i="1"/>
  <c r="C197" i="1"/>
  <c r="D197" i="1"/>
  <c r="C198" i="1"/>
  <c r="D198" i="1"/>
  <c r="C199" i="1"/>
  <c r="D199" i="1"/>
  <c r="C200" i="1"/>
  <c r="D200" i="1"/>
  <c r="C201" i="1"/>
  <c r="D201" i="1"/>
  <c r="C202" i="1"/>
  <c r="D202" i="1"/>
  <c r="C203" i="1"/>
  <c r="D203" i="1"/>
  <c r="C204" i="1"/>
  <c r="D204" i="1"/>
  <c r="C205" i="1"/>
  <c r="D205" i="1"/>
  <c r="C206" i="1"/>
  <c r="D206" i="1"/>
  <c r="C207" i="1"/>
  <c r="D207" i="1"/>
  <c r="C208" i="1"/>
  <c r="D208" i="1"/>
  <c r="C209" i="1"/>
  <c r="D209" i="1"/>
  <c r="C210" i="1"/>
  <c r="D210" i="1"/>
  <c r="C211" i="1"/>
  <c r="D211" i="1"/>
  <c r="C212" i="1"/>
  <c r="D212" i="1"/>
  <c r="C213" i="1"/>
  <c r="D213" i="1"/>
  <c r="C214" i="1"/>
  <c r="D214" i="1"/>
  <c r="C215" i="1"/>
  <c r="D215" i="1"/>
  <c r="C216" i="1"/>
  <c r="D216" i="1"/>
  <c r="C217" i="1"/>
  <c r="D217" i="1"/>
  <c r="C218" i="1"/>
  <c r="D218" i="1"/>
  <c r="C219" i="1"/>
  <c r="D219" i="1"/>
  <c r="C220" i="1"/>
  <c r="D220" i="1"/>
  <c r="C221" i="1"/>
  <c r="D221" i="1"/>
  <c r="C222" i="1"/>
  <c r="D222" i="1"/>
  <c r="C223" i="1"/>
  <c r="D223" i="1"/>
  <c r="C224" i="1"/>
  <c r="D224" i="1"/>
  <c r="C225" i="1"/>
  <c r="D225" i="1"/>
  <c r="C226" i="1"/>
  <c r="D226" i="1"/>
  <c r="C227" i="1"/>
  <c r="D227" i="1"/>
  <c r="C228" i="1"/>
  <c r="D228" i="1"/>
  <c r="C229" i="1"/>
  <c r="D229" i="1"/>
  <c r="C230" i="1"/>
  <c r="D230" i="1"/>
  <c r="C231" i="1"/>
  <c r="D231" i="1"/>
  <c r="C232" i="1"/>
  <c r="D232" i="1"/>
  <c r="C233" i="1"/>
  <c r="D233" i="1"/>
  <c r="C234" i="1"/>
  <c r="D234" i="1"/>
  <c r="C235" i="1"/>
  <c r="D235" i="1"/>
  <c r="C236" i="1"/>
  <c r="D236" i="1"/>
  <c r="C237" i="1"/>
  <c r="D237" i="1"/>
  <c r="C238" i="1"/>
  <c r="D238" i="1"/>
  <c r="C239" i="1"/>
  <c r="D239" i="1"/>
  <c r="C240" i="1"/>
  <c r="D240" i="1"/>
  <c r="C241" i="1"/>
  <c r="D241" i="1"/>
  <c r="C242" i="1"/>
  <c r="D242" i="1"/>
  <c r="C243" i="1"/>
  <c r="D243" i="1"/>
  <c r="C244" i="1"/>
  <c r="D244" i="1"/>
  <c r="C245" i="1"/>
  <c r="D245" i="1"/>
  <c r="C246" i="1"/>
  <c r="D246" i="1"/>
  <c r="C247" i="1"/>
  <c r="D247" i="1"/>
  <c r="C248" i="1"/>
  <c r="D248" i="1"/>
  <c r="C249" i="1"/>
  <c r="D249" i="1"/>
  <c r="C250" i="1"/>
  <c r="D250" i="1"/>
  <c r="C251" i="1"/>
  <c r="D251" i="1"/>
  <c r="C252" i="1"/>
  <c r="D252" i="1"/>
  <c r="C253" i="1"/>
  <c r="D253" i="1"/>
  <c r="C254" i="1"/>
  <c r="D254" i="1"/>
  <c r="C255" i="1"/>
  <c r="D255" i="1"/>
  <c r="C256" i="1"/>
  <c r="D256" i="1"/>
  <c r="C257" i="1"/>
  <c r="D257" i="1"/>
  <c r="C258" i="1"/>
  <c r="D258" i="1"/>
  <c r="C259" i="1"/>
  <c r="D259" i="1"/>
  <c r="C260" i="1"/>
  <c r="D260" i="1"/>
  <c r="C261" i="1"/>
  <c r="D261" i="1"/>
  <c r="C262" i="1"/>
  <c r="D262" i="1"/>
  <c r="C263" i="1"/>
  <c r="D263" i="1"/>
  <c r="C264" i="1"/>
  <c r="D264" i="1"/>
  <c r="C265" i="1"/>
  <c r="D265" i="1"/>
  <c r="C266" i="1"/>
  <c r="D266" i="1"/>
  <c r="C267" i="1"/>
  <c r="D267" i="1"/>
  <c r="C268" i="1"/>
  <c r="D268" i="1"/>
  <c r="C269" i="1"/>
  <c r="D269" i="1"/>
  <c r="C270" i="1"/>
  <c r="D270" i="1"/>
  <c r="C271" i="1"/>
  <c r="D271" i="1"/>
  <c r="C272" i="1"/>
  <c r="D272" i="1"/>
  <c r="C273" i="1"/>
  <c r="D273" i="1"/>
  <c r="C274" i="1"/>
  <c r="D274" i="1"/>
  <c r="C275" i="1"/>
  <c r="D275" i="1"/>
  <c r="C276" i="1"/>
  <c r="D276" i="1"/>
  <c r="C277" i="1"/>
  <c r="D277" i="1"/>
  <c r="C278" i="1"/>
  <c r="D278" i="1"/>
  <c r="C279" i="1"/>
  <c r="D279" i="1"/>
  <c r="C280" i="1"/>
  <c r="D280" i="1"/>
  <c r="C281" i="1"/>
  <c r="D281" i="1"/>
  <c r="C282" i="1"/>
  <c r="D282" i="1"/>
  <c r="C283" i="1"/>
  <c r="D283" i="1"/>
  <c r="C284" i="1"/>
  <c r="D284" i="1"/>
  <c r="C285" i="1"/>
  <c r="D285" i="1"/>
  <c r="C286" i="1"/>
  <c r="D286" i="1"/>
  <c r="C287" i="1"/>
  <c r="D287" i="1"/>
  <c r="C288" i="1"/>
  <c r="D288" i="1"/>
  <c r="C289" i="1"/>
  <c r="D289" i="1"/>
  <c r="C290" i="1"/>
  <c r="D290" i="1"/>
  <c r="C291" i="1"/>
  <c r="D291" i="1"/>
  <c r="C292" i="1"/>
  <c r="D292" i="1"/>
  <c r="C293" i="1"/>
  <c r="D293" i="1"/>
  <c r="C294" i="1"/>
  <c r="D294" i="1"/>
  <c r="C295" i="1"/>
  <c r="D295" i="1"/>
  <c r="C296" i="1"/>
  <c r="D296" i="1"/>
  <c r="C297" i="1"/>
  <c r="D297" i="1"/>
  <c r="C298" i="1"/>
  <c r="D298" i="1"/>
  <c r="C299" i="1"/>
  <c r="D299" i="1"/>
  <c r="C300" i="1"/>
  <c r="D300" i="1"/>
  <c r="C301" i="1"/>
  <c r="D301" i="1"/>
  <c r="C302" i="1"/>
  <c r="D302" i="1"/>
  <c r="C303" i="1"/>
  <c r="D303" i="1"/>
  <c r="C304" i="1"/>
  <c r="D304" i="1"/>
  <c r="C305" i="1"/>
  <c r="D305" i="1"/>
  <c r="C306" i="1"/>
  <c r="D306" i="1"/>
  <c r="C307" i="1"/>
  <c r="D307" i="1"/>
  <c r="C308" i="1"/>
  <c r="D308" i="1"/>
  <c r="C309" i="1"/>
  <c r="D309" i="1"/>
  <c r="C310" i="1"/>
  <c r="D310" i="1"/>
  <c r="C311" i="1"/>
  <c r="D311" i="1"/>
  <c r="C312" i="1"/>
  <c r="D312" i="1"/>
  <c r="C313" i="1"/>
  <c r="D313" i="1"/>
  <c r="C314" i="1"/>
  <c r="D314" i="1"/>
  <c r="C315" i="1"/>
  <c r="D315" i="1"/>
  <c r="C316" i="1"/>
  <c r="D316" i="1"/>
  <c r="C317" i="1"/>
  <c r="D317" i="1"/>
  <c r="C318" i="1"/>
  <c r="D318" i="1"/>
  <c r="C319" i="1"/>
  <c r="D319" i="1"/>
  <c r="C320" i="1"/>
  <c r="D320" i="1"/>
  <c r="C321" i="1"/>
  <c r="D321" i="1"/>
  <c r="C322" i="1"/>
  <c r="D322" i="1"/>
  <c r="C323" i="1"/>
  <c r="D323" i="1"/>
  <c r="C324" i="1"/>
  <c r="D324" i="1"/>
  <c r="C325" i="1"/>
  <c r="D325" i="1"/>
  <c r="C326" i="1"/>
  <c r="D326" i="1"/>
  <c r="C327" i="1"/>
  <c r="D327" i="1"/>
  <c r="C328" i="1"/>
  <c r="D328" i="1"/>
  <c r="C329" i="1"/>
  <c r="D329" i="1"/>
  <c r="C330" i="1"/>
  <c r="D330" i="1"/>
  <c r="C331" i="1"/>
  <c r="D331" i="1"/>
  <c r="C332" i="1"/>
  <c r="D332" i="1"/>
  <c r="C333" i="1"/>
  <c r="D333" i="1"/>
  <c r="C334" i="1"/>
  <c r="D334" i="1"/>
  <c r="C335" i="1"/>
  <c r="D335" i="1"/>
  <c r="C336" i="1"/>
  <c r="D336" i="1"/>
  <c r="C337" i="1"/>
  <c r="D337" i="1"/>
  <c r="C338" i="1"/>
  <c r="D338" i="1"/>
  <c r="C339" i="1"/>
  <c r="D339" i="1"/>
  <c r="C340" i="1"/>
  <c r="D340" i="1"/>
  <c r="C341" i="1"/>
  <c r="D341" i="1"/>
  <c r="C342" i="1"/>
  <c r="D342" i="1"/>
  <c r="C343" i="1"/>
  <c r="D343" i="1"/>
  <c r="C344" i="1"/>
  <c r="D344" i="1"/>
  <c r="C345" i="1"/>
  <c r="D345" i="1"/>
  <c r="C346" i="1"/>
  <c r="D346" i="1"/>
  <c r="C347" i="1"/>
  <c r="D347" i="1"/>
  <c r="C348" i="1"/>
  <c r="D348" i="1"/>
  <c r="C349" i="1"/>
  <c r="D349" i="1"/>
  <c r="C350" i="1"/>
  <c r="D350" i="1"/>
  <c r="C351" i="1"/>
  <c r="D351" i="1"/>
  <c r="C352" i="1"/>
  <c r="D352" i="1"/>
  <c r="C353" i="1"/>
  <c r="D353" i="1"/>
  <c r="C354" i="1"/>
  <c r="D354" i="1"/>
  <c r="C355" i="1"/>
  <c r="D355" i="1"/>
  <c r="C356" i="1"/>
  <c r="D356" i="1"/>
  <c r="C357" i="1"/>
  <c r="D357" i="1"/>
  <c r="C358" i="1"/>
  <c r="D358" i="1"/>
  <c r="C359" i="1"/>
  <c r="D359" i="1"/>
  <c r="C360" i="1"/>
  <c r="D360" i="1"/>
  <c r="C361" i="1"/>
  <c r="D361" i="1"/>
  <c r="C362" i="1"/>
  <c r="D362" i="1"/>
  <c r="C363" i="1"/>
  <c r="D363" i="1"/>
  <c r="C364" i="1"/>
  <c r="D364" i="1"/>
  <c r="C365" i="1"/>
  <c r="D365" i="1"/>
  <c r="C366" i="1"/>
  <c r="D366" i="1"/>
  <c r="C367" i="1"/>
  <c r="D367" i="1"/>
  <c r="C368" i="1"/>
  <c r="D368" i="1"/>
  <c r="C369" i="1"/>
  <c r="D369" i="1"/>
  <c r="C370" i="1"/>
  <c r="D370" i="1"/>
  <c r="C371" i="1"/>
  <c r="D371" i="1"/>
  <c r="C372" i="1"/>
  <c r="D372" i="1"/>
  <c r="C373" i="1"/>
  <c r="D373" i="1"/>
  <c r="C374" i="1"/>
  <c r="D374" i="1"/>
  <c r="C375" i="1"/>
  <c r="D375" i="1"/>
  <c r="C376" i="1"/>
  <c r="D376" i="1"/>
  <c r="C377" i="1"/>
  <c r="D377" i="1"/>
  <c r="C378" i="1"/>
  <c r="D378" i="1"/>
  <c r="C379" i="1"/>
  <c r="D379" i="1"/>
  <c r="C380" i="1"/>
  <c r="D380" i="1"/>
  <c r="C381" i="1"/>
  <c r="D381" i="1"/>
  <c r="C382" i="1"/>
  <c r="D382" i="1"/>
  <c r="C383" i="1"/>
  <c r="D383" i="1"/>
  <c r="C384" i="1"/>
  <c r="D384" i="1"/>
  <c r="C385" i="1"/>
  <c r="D385" i="1"/>
  <c r="C386" i="1"/>
  <c r="D386" i="1"/>
  <c r="C387" i="1"/>
  <c r="D387" i="1"/>
  <c r="C388" i="1"/>
  <c r="D388" i="1"/>
  <c r="C389" i="1"/>
  <c r="D389" i="1"/>
  <c r="C390" i="1"/>
  <c r="D390" i="1"/>
  <c r="C391" i="1"/>
  <c r="D391" i="1"/>
  <c r="C392" i="1"/>
  <c r="D392" i="1"/>
  <c r="C393" i="1"/>
  <c r="D393" i="1"/>
  <c r="C394" i="1"/>
  <c r="D394" i="1"/>
  <c r="C395" i="1"/>
  <c r="D395" i="1"/>
  <c r="C396" i="1"/>
  <c r="D396" i="1"/>
  <c r="C397" i="1"/>
  <c r="D397" i="1"/>
  <c r="C398" i="1"/>
  <c r="D398" i="1"/>
  <c r="C399" i="1"/>
  <c r="D399" i="1"/>
  <c r="C400" i="1"/>
  <c r="D400" i="1"/>
  <c r="C401" i="1"/>
  <c r="D401" i="1"/>
  <c r="C402" i="1"/>
  <c r="D402" i="1"/>
  <c r="C403" i="1"/>
  <c r="D403" i="1"/>
  <c r="C404" i="1"/>
  <c r="D404" i="1"/>
  <c r="C405" i="1"/>
  <c r="D405" i="1"/>
  <c r="C406" i="1"/>
  <c r="D406" i="1"/>
  <c r="C407" i="1"/>
  <c r="D407" i="1"/>
  <c r="C408" i="1"/>
  <c r="D408" i="1"/>
  <c r="C409" i="1"/>
  <c r="D409" i="1"/>
  <c r="C410" i="1"/>
  <c r="D410" i="1"/>
  <c r="C411" i="1"/>
  <c r="D411" i="1"/>
  <c r="C412" i="1"/>
  <c r="D412" i="1"/>
  <c r="C413" i="1"/>
  <c r="D413" i="1"/>
  <c r="C414" i="1"/>
  <c r="D414" i="1"/>
  <c r="C415" i="1"/>
  <c r="D415" i="1"/>
  <c r="C416" i="1"/>
  <c r="D416" i="1"/>
  <c r="C417" i="1"/>
  <c r="D417" i="1"/>
  <c r="C418" i="1"/>
  <c r="D418" i="1"/>
  <c r="C419" i="1"/>
  <c r="D419" i="1"/>
  <c r="C420" i="1"/>
  <c r="D420" i="1"/>
  <c r="C421" i="1"/>
  <c r="D421" i="1"/>
  <c r="C422" i="1"/>
  <c r="D422" i="1"/>
  <c r="C423" i="1"/>
  <c r="D423" i="1"/>
  <c r="C424" i="1"/>
  <c r="D424" i="1"/>
  <c r="C425" i="1"/>
  <c r="D425" i="1"/>
  <c r="C426" i="1"/>
  <c r="D426" i="1"/>
  <c r="C427" i="1"/>
  <c r="D427" i="1"/>
  <c r="C428" i="1"/>
  <c r="D428" i="1"/>
  <c r="C429" i="1"/>
  <c r="D429" i="1"/>
  <c r="C430" i="1"/>
  <c r="D430" i="1"/>
  <c r="C431" i="1"/>
  <c r="D431" i="1"/>
  <c r="C432" i="1"/>
  <c r="D432" i="1"/>
  <c r="C433" i="1"/>
  <c r="D433" i="1"/>
  <c r="C434" i="1"/>
  <c r="D434" i="1"/>
  <c r="C435" i="1"/>
  <c r="D435" i="1"/>
  <c r="C436" i="1"/>
  <c r="D436" i="1"/>
  <c r="C437" i="1"/>
  <c r="D437" i="1"/>
  <c r="C438" i="1"/>
  <c r="D438" i="1"/>
  <c r="C439" i="1"/>
  <c r="D439" i="1"/>
  <c r="C440" i="1"/>
  <c r="D440" i="1"/>
  <c r="C441" i="1"/>
  <c r="D441" i="1"/>
  <c r="C442" i="1"/>
  <c r="D442" i="1"/>
  <c r="C443" i="1"/>
  <c r="D443" i="1"/>
  <c r="C444" i="1"/>
  <c r="D444" i="1"/>
  <c r="C445" i="1"/>
  <c r="D445" i="1"/>
  <c r="C446" i="1"/>
  <c r="D446" i="1"/>
  <c r="C447" i="1"/>
  <c r="D447" i="1"/>
  <c r="C448" i="1"/>
  <c r="D448" i="1"/>
  <c r="C449" i="1"/>
  <c r="D449" i="1"/>
  <c r="C450" i="1"/>
  <c r="D450" i="1"/>
  <c r="C451" i="1"/>
  <c r="D451" i="1"/>
  <c r="C452" i="1"/>
  <c r="D452" i="1"/>
  <c r="C453" i="1"/>
  <c r="D453" i="1"/>
  <c r="C454" i="1"/>
  <c r="D454" i="1"/>
  <c r="C455" i="1"/>
  <c r="D455" i="1"/>
  <c r="C456" i="1"/>
  <c r="D456" i="1"/>
  <c r="C457" i="1"/>
  <c r="D457" i="1"/>
  <c r="C458" i="1"/>
  <c r="D458" i="1"/>
  <c r="C459" i="1"/>
  <c r="D459" i="1"/>
  <c r="C460" i="1"/>
  <c r="D460" i="1"/>
  <c r="C461" i="1"/>
  <c r="D461" i="1"/>
  <c r="C462" i="1"/>
  <c r="D462" i="1"/>
  <c r="C463" i="1"/>
  <c r="D463" i="1"/>
  <c r="C464" i="1"/>
  <c r="D464" i="1"/>
  <c r="C465" i="1"/>
  <c r="D465" i="1"/>
  <c r="C466" i="1"/>
  <c r="D466" i="1"/>
  <c r="C467" i="1"/>
  <c r="D467" i="1"/>
  <c r="C468" i="1"/>
  <c r="D468" i="1"/>
  <c r="C469" i="1"/>
  <c r="D469" i="1"/>
  <c r="C470" i="1"/>
  <c r="D470" i="1"/>
  <c r="C471" i="1"/>
  <c r="D471" i="1"/>
  <c r="C472" i="1"/>
  <c r="D472" i="1"/>
  <c r="C473" i="1"/>
  <c r="D473" i="1"/>
  <c r="C474" i="1"/>
  <c r="D474" i="1"/>
  <c r="C475" i="1"/>
  <c r="D475" i="1"/>
  <c r="C476" i="1"/>
  <c r="D476" i="1"/>
  <c r="C477" i="1"/>
  <c r="D477" i="1"/>
  <c r="C478" i="1"/>
  <c r="D478" i="1"/>
  <c r="C479" i="1"/>
  <c r="D479" i="1"/>
  <c r="C480" i="1"/>
  <c r="D480" i="1"/>
  <c r="C481" i="1"/>
  <c r="D481" i="1"/>
  <c r="C482" i="1"/>
  <c r="D482" i="1"/>
  <c r="C483" i="1"/>
  <c r="D483" i="1"/>
  <c r="C484" i="1"/>
  <c r="D484" i="1"/>
  <c r="C485" i="1"/>
  <c r="D485" i="1"/>
  <c r="C486" i="1"/>
  <c r="D486" i="1"/>
  <c r="C487" i="1"/>
  <c r="D487" i="1"/>
  <c r="C488" i="1"/>
  <c r="D488" i="1"/>
  <c r="C489" i="1"/>
  <c r="D489" i="1"/>
  <c r="C490" i="1"/>
  <c r="D490" i="1"/>
  <c r="C491" i="1"/>
  <c r="D491" i="1"/>
  <c r="C492" i="1"/>
  <c r="D492" i="1"/>
  <c r="C493" i="1"/>
  <c r="D493" i="1"/>
  <c r="C494" i="1"/>
  <c r="D494" i="1"/>
  <c r="C495" i="1"/>
  <c r="D495" i="1"/>
  <c r="C496" i="1"/>
  <c r="D496" i="1"/>
  <c r="C497" i="1"/>
  <c r="D497" i="1"/>
  <c r="C498" i="1"/>
  <c r="D498" i="1"/>
  <c r="C499" i="1"/>
  <c r="D499" i="1"/>
  <c r="C500" i="1"/>
  <c r="D500" i="1"/>
  <c r="C501" i="1"/>
  <c r="D501" i="1"/>
  <c r="C502" i="1"/>
  <c r="D502" i="1"/>
  <c r="C503" i="1"/>
  <c r="D503" i="1"/>
  <c r="C504" i="1"/>
  <c r="D504" i="1"/>
  <c r="C505" i="1"/>
  <c r="D505" i="1"/>
  <c r="C506" i="1"/>
  <c r="D506" i="1"/>
  <c r="C507" i="1"/>
  <c r="D507" i="1"/>
  <c r="C508" i="1"/>
  <c r="D508" i="1"/>
  <c r="C509" i="1"/>
  <c r="D509" i="1"/>
  <c r="C510" i="1"/>
  <c r="D510" i="1"/>
  <c r="C511" i="1"/>
  <c r="D511" i="1"/>
  <c r="C512" i="1"/>
  <c r="D512" i="1"/>
  <c r="C513" i="1"/>
  <c r="D513" i="1"/>
  <c r="C514" i="1"/>
  <c r="D514" i="1"/>
  <c r="C515" i="1"/>
  <c r="D515" i="1"/>
  <c r="C516" i="1"/>
  <c r="D516" i="1"/>
  <c r="C517" i="1"/>
  <c r="D517" i="1"/>
  <c r="C518" i="1"/>
  <c r="D518" i="1"/>
  <c r="C519" i="1"/>
  <c r="D519" i="1"/>
  <c r="C520" i="1"/>
  <c r="D520" i="1"/>
  <c r="C521" i="1"/>
  <c r="D521" i="1"/>
  <c r="C522" i="1"/>
  <c r="D522" i="1"/>
  <c r="C523" i="1"/>
  <c r="D523" i="1"/>
  <c r="C524" i="1"/>
  <c r="D524" i="1"/>
  <c r="C525" i="1"/>
  <c r="D525" i="1"/>
  <c r="C526" i="1"/>
  <c r="D526" i="1"/>
  <c r="C527" i="1"/>
  <c r="D527" i="1"/>
  <c r="C528" i="1"/>
  <c r="D528" i="1"/>
  <c r="C529" i="1"/>
  <c r="D529" i="1"/>
  <c r="C530" i="1"/>
  <c r="D530" i="1"/>
  <c r="C531" i="1"/>
  <c r="D531" i="1"/>
  <c r="C532" i="1"/>
  <c r="D532" i="1"/>
  <c r="C533" i="1"/>
  <c r="D533" i="1"/>
  <c r="C534" i="1"/>
  <c r="D534" i="1"/>
  <c r="C535" i="1"/>
  <c r="D535" i="1"/>
  <c r="C536" i="1"/>
  <c r="D536" i="1"/>
  <c r="C537" i="1"/>
  <c r="D537" i="1"/>
  <c r="C538" i="1"/>
  <c r="D538" i="1"/>
  <c r="C539" i="1"/>
  <c r="D539" i="1"/>
  <c r="C540" i="1"/>
  <c r="D540" i="1"/>
  <c r="C541" i="1"/>
  <c r="D541" i="1"/>
  <c r="C542" i="1"/>
  <c r="D542" i="1"/>
  <c r="C543" i="1"/>
  <c r="D543" i="1"/>
  <c r="C544" i="1"/>
  <c r="D544" i="1"/>
  <c r="C545" i="1"/>
  <c r="D545" i="1"/>
  <c r="C546" i="1"/>
  <c r="D546" i="1"/>
  <c r="C547" i="1"/>
  <c r="D547" i="1"/>
  <c r="C548" i="1"/>
  <c r="D548" i="1"/>
  <c r="C549" i="1"/>
  <c r="D549" i="1"/>
  <c r="C550" i="1"/>
  <c r="D550" i="1"/>
  <c r="C551" i="1"/>
  <c r="D551" i="1"/>
  <c r="C552" i="1"/>
  <c r="D552" i="1"/>
  <c r="C553" i="1"/>
  <c r="D553" i="1"/>
  <c r="C554" i="1"/>
  <c r="D554" i="1"/>
  <c r="C555" i="1"/>
  <c r="D555" i="1"/>
  <c r="C556" i="1"/>
  <c r="D556" i="1"/>
  <c r="C557" i="1"/>
  <c r="D557" i="1"/>
  <c r="C558" i="1"/>
  <c r="D558" i="1"/>
  <c r="C559" i="1"/>
  <c r="D559" i="1"/>
  <c r="C560" i="1"/>
  <c r="D560" i="1"/>
  <c r="C561" i="1"/>
  <c r="D561" i="1"/>
  <c r="C562" i="1"/>
  <c r="D562" i="1"/>
  <c r="C563" i="1"/>
  <c r="D563" i="1"/>
  <c r="C564" i="1"/>
  <c r="D564" i="1"/>
  <c r="C565" i="1"/>
  <c r="D565" i="1"/>
  <c r="C566" i="1"/>
  <c r="D566" i="1"/>
  <c r="C567" i="1"/>
  <c r="D567" i="1"/>
  <c r="C568" i="1"/>
  <c r="D568" i="1"/>
  <c r="C569" i="1"/>
  <c r="D569" i="1"/>
  <c r="C570" i="1"/>
  <c r="D570" i="1"/>
  <c r="C571" i="1"/>
  <c r="D571" i="1"/>
  <c r="C572" i="1"/>
  <c r="D572" i="1"/>
  <c r="C573" i="1"/>
  <c r="D573" i="1"/>
  <c r="C574" i="1"/>
  <c r="D574" i="1"/>
  <c r="C575" i="1"/>
  <c r="D575" i="1"/>
  <c r="C576" i="1"/>
  <c r="D576" i="1"/>
  <c r="C577" i="1"/>
  <c r="D577" i="1"/>
  <c r="C578" i="1"/>
  <c r="D578" i="1"/>
  <c r="C579" i="1"/>
  <c r="D579" i="1"/>
  <c r="C580" i="1"/>
  <c r="D580" i="1"/>
  <c r="C581" i="1"/>
  <c r="D581" i="1"/>
  <c r="C582" i="1"/>
  <c r="D582" i="1"/>
  <c r="C583" i="1"/>
  <c r="D583" i="1"/>
  <c r="C584" i="1"/>
  <c r="D584" i="1"/>
  <c r="C585" i="1"/>
  <c r="D585" i="1"/>
  <c r="C586" i="1"/>
  <c r="D586" i="1"/>
  <c r="C587" i="1"/>
  <c r="D587" i="1"/>
  <c r="C588" i="1"/>
  <c r="D588" i="1"/>
  <c r="C589" i="1"/>
  <c r="D589" i="1"/>
  <c r="C590" i="1"/>
  <c r="D590" i="1"/>
  <c r="C591" i="1"/>
  <c r="D591" i="1"/>
  <c r="C592" i="1"/>
  <c r="D592" i="1"/>
  <c r="C593" i="1"/>
  <c r="D593" i="1"/>
  <c r="C594" i="1"/>
  <c r="D594" i="1"/>
  <c r="C595" i="1"/>
  <c r="D595" i="1"/>
  <c r="C597" i="1"/>
  <c r="D597" i="1"/>
  <c r="C598" i="1"/>
  <c r="D598" i="1"/>
  <c r="C599" i="1"/>
  <c r="D599" i="1"/>
  <c r="C600" i="1"/>
  <c r="D600" i="1"/>
  <c r="C601" i="1"/>
  <c r="D601" i="1"/>
  <c r="C602" i="1"/>
  <c r="D602" i="1"/>
  <c r="C603" i="1"/>
  <c r="D603" i="1"/>
  <c r="C604" i="1"/>
  <c r="D604" i="1"/>
  <c r="C605" i="1"/>
  <c r="D605" i="1"/>
  <c r="C606" i="1"/>
  <c r="D606" i="1"/>
  <c r="C607" i="1"/>
  <c r="D607" i="1"/>
  <c r="C608" i="1"/>
  <c r="D608" i="1"/>
  <c r="C609" i="1"/>
  <c r="D609" i="1"/>
  <c r="C610" i="1"/>
  <c r="D610" i="1"/>
  <c r="C611" i="1"/>
  <c r="D611" i="1"/>
  <c r="C612" i="1"/>
  <c r="D612" i="1"/>
  <c r="C613" i="1"/>
  <c r="D613" i="1"/>
  <c r="C614" i="1"/>
  <c r="D614" i="1"/>
  <c r="C615" i="1"/>
  <c r="D615" i="1"/>
  <c r="C616" i="1"/>
  <c r="D616" i="1"/>
  <c r="C617" i="1"/>
  <c r="D617" i="1"/>
  <c r="C618" i="1"/>
  <c r="D618" i="1"/>
  <c r="C619" i="1"/>
  <c r="D619" i="1"/>
  <c r="C620" i="1"/>
  <c r="D620" i="1"/>
  <c r="C621" i="1"/>
  <c r="D621" i="1"/>
  <c r="C622" i="1"/>
  <c r="D622" i="1"/>
  <c r="C623" i="1"/>
  <c r="D623" i="1"/>
  <c r="C624" i="1"/>
  <c r="D624" i="1"/>
  <c r="C625" i="1"/>
  <c r="D625" i="1"/>
  <c r="C626" i="1"/>
  <c r="D626" i="1"/>
  <c r="C627" i="1"/>
  <c r="D627" i="1"/>
  <c r="C628" i="1"/>
  <c r="D628" i="1"/>
  <c r="C629" i="1"/>
  <c r="D629" i="1"/>
  <c r="C630" i="1"/>
  <c r="D630" i="1"/>
  <c r="C631" i="1"/>
  <c r="D631" i="1"/>
  <c r="C632" i="1"/>
  <c r="D632" i="1"/>
  <c r="C633" i="1"/>
  <c r="D633" i="1"/>
  <c r="C634" i="1"/>
  <c r="D634" i="1"/>
  <c r="C635" i="1"/>
  <c r="D635" i="1"/>
  <c r="C636" i="1"/>
  <c r="D636" i="1"/>
  <c r="C637" i="1"/>
  <c r="D637" i="1"/>
  <c r="C638" i="1"/>
  <c r="D638" i="1"/>
  <c r="C639" i="1"/>
  <c r="D639" i="1"/>
  <c r="C640" i="1"/>
  <c r="D640" i="1"/>
  <c r="C641" i="1"/>
  <c r="D641" i="1"/>
  <c r="C642" i="1"/>
  <c r="D642" i="1"/>
  <c r="C643" i="1"/>
  <c r="D643" i="1"/>
  <c r="C644" i="1"/>
  <c r="D644" i="1"/>
  <c r="C645" i="1"/>
  <c r="D645" i="1"/>
  <c r="C646" i="1"/>
  <c r="D646" i="1"/>
  <c r="C647" i="1"/>
  <c r="D647" i="1"/>
  <c r="C648" i="1"/>
  <c r="D648" i="1"/>
  <c r="C649" i="1"/>
  <c r="D649" i="1"/>
  <c r="C650" i="1"/>
  <c r="D650" i="1"/>
  <c r="C651" i="1"/>
  <c r="D651" i="1"/>
  <c r="C652" i="1"/>
  <c r="D652" i="1"/>
  <c r="C653" i="1"/>
  <c r="D653" i="1"/>
  <c r="C654" i="1"/>
  <c r="D654" i="1"/>
  <c r="C655" i="1"/>
  <c r="D655" i="1"/>
  <c r="C656" i="1"/>
  <c r="D656" i="1"/>
  <c r="C657" i="1"/>
  <c r="D657" i="1"/>
  <c r="C658" i="1"/>
  <c r="D658" i="1"/>
  <c r="C659" i="1"/>
  <c r="D659" i="1"/>
  <c r="C660" i="1"/>
  <c r="D660" i="1"/>
  <c r="C661" i="1"/>
  <c r="D661" i="1"/>
  <c r="C662" i="1"/>
  <c r="D662" i="1"/>
  <c r="C663" i="1"/>
  <c r="D663" i="1"/>
  <c r="C664" i="1"/>
  <c r="D664" i="1"/>
  <c r="C665" i="1"/>
  <c r="D665" i="1"/>
  <c r="C666" i="1"/>
  <c r="D666" i="1"/>
  <c r="C667" i="1"/>
  <c r="D667" i="1"/>
  <c r="C668" i="1"/>
  <c r="D668" i="1"/>
  <c r="C669" i="1"/>
  <c r="D669" i="1"/>
  <c r="C670" i="1"/>
  <c r="D670" i="1"/>
  <c r="C671" i="1"/>
  <c r="D671" i="1"/>
  <c r="C672" i="1"/>
  <c r="D672" i="1"/>
  <c r="C673" i="1"/>
  <c r="D673" i="1"/>
  <c r="C674" i="1"/>
  <c r="D674" i="1"/>
  <c r="C675" i="1"/>
  <c r="D675" i="1"/>
  <c r="C676" i="1"/>
  <c r="D676" i="1"/>
  <c r="C677" i="1"/>
  <c r="D677" i="1"/>
  <c r="C678" i="1"/>
  <c r="D678" i="1"/>
  <c r="C679" i="1"/>
  <c r="D679" i="1"/>
  <c r="C680" i="1"/>
  <c r="D680" i="1"/>
  <c r="C681" i="1"/>
  <c r="D681" i="1"/>
  <c r="C682" i="1"/>
  <c r="D682" i="1"/>
  <c r="C683" i="1"/>
  <c r="D683" i="1"/>
  <c r="C684" i="1"/>
  <c r="D684" i="1"/>
  <c r="C685" i="1"/>
  <c r="D685" i="1"/>
  <c r="C686" i="1"/>
  <c r="D686" i="1"/>
  <c r="C687" i="1"/>
  <c r="D687" i="1"/>
  <c r="C688" i="1"/>
  <c r="D688" i="1"/>
  <c r="C689" i="1"/>
  <c r="D689" i="1"/>
  <c r="C690" i="1"/>
  <c r="D690" i="1"/>
  <c r="C691" i="1"/>
  <c r="D691" i="1"/>
  <c r="C692" i="1"/>
  <c r="D692" i="1"/>
  <c r="C693" i="1"/>
  <c r="D693" i="1"/>
  <c r="C694" i="1"/>
  <c r="D694" i="1"/>
  <c r="C695" i="1"/>
  <c r="D695" i="1"/>
  <c r="C696" i="1"/>
  <c r="D696" i="1"/>
  <c r="C697" i="1"/>
  <c r="D697" i="1"/>
  <c r="C698" i="1"/>
  <c r="D698" i="1"/>
  <c r="C699" i="1"/>
  <c r="D699" i="1"/>
  <c r="C700" i="1"/>
  <c r="D700" i="1"/>
  <c r="C701" i="1"/>
  <c r="D701" i="1"/>
  <c r="C702" i="1"/>
  <c r="D702" i="1"/>
  <c r="C703" i="1"/>
  <c r="D703" i="1"/>
  <c r="C704" i="1"/>
  <c r="D704" i="1"/>
  <c r="C705" i="1"/>
  <c r="D705" i="1"/>
  <c r="C706" i="1"/>
  <c r="D706" i="1"/>
  <c r="C707" i="1"/>
  <c r="D707" i="1"/>
  <c r="C708" i="1"/>
  <c r="D708" i="1"/>
  <c r="C709" i="1"/>
  <c r="D709" i="1"/>
  <c r="C710" i="1"/>
  <c r="D710" i="1"/>
  <c r="C711" i="1"/>
  <c r="D711" i="1"/>
  <c r="C712" i="1"/>
  <c r="D712" i="1"/>
  <c r="C713" i="1"/>
  <c r="D713" i="1"/>
  <c r="C714" i="1"/>
  <c r="D714" i="1"/>
  <c r="C715" i="1"/>
  <c r="D715" i="1"/>
  <c r="C716" i="1"/>
  <c r="D716" i="1"/>
  <c r="C717" i="1"/>
  <c r="D717" i="1"/>
  <c r="C718" i="1"/>
  <c r="D718" i="1"/>
  <c r="C719" i="1"/>
  <c r="D719" i="1"/>
  <c r="C720" i="1"/>
  <c r="D720" i="1"/>
  <c r="C721" i="1"/>
  <c r="D721" i="1"/>
  <c r="C722" i="1"/>
  <c r="D722" i="1"/>
  <c r="C723" i="1"/>
  <c r="D723" i="1"/>
  <c r="C724" i="1"/>
  <c r="D724" i="1"/>
  <c r="C725" i="1"/>
  <c r="D725" i="1"/>
  <c r="C726" i="1"/>
  <c r="D726" i="1"/>
  <c r="C727" i="1"/>
  <c r="D727" i="1"/>
  <c r="C728" i="1"/>
  <c r="D728" i="1"/>
  <c r="C729" i="1"/>
  <c r="D729" i="1"/>
  <c r="C730" i="1"/>
  <c r="D730" i="1"/>
  <c r="C731" i="1"/>
  <c r="D731" i="1"/>
  <c r="C732" i="1"/>
  <c r="D732" i="1"/>
  <c r="C733" i="1"/>
  <c r="D733" i="1"/>
  <c r="C734" i="1"/>
  <c r="D734" i="1"/>
  <c r="C735" i="1"/>
  <c r="D735" i="1"/>
  <c r="C736" i="1"/>
  <c r="D736" i="1"/>
  <c r="C737" i="1"/>
  <c r="D737" i="1"/>
  <c r="C738" i="1"/>
  <c r="D738" i="1"/>
  <c r="C739" i="1"/>
  <c r="D739" i="1"/>
  <c r="C740" i="1"/>
  <c r="D740" i="1"/>
  <c r="C741" i="1"/>
  <c r="D741" i="1"/>
  <c r="C742" i="1"/>
  <c r="D742" i="1"/>
  <c r="C743" i="1"/>
  <c r="D743" i="1"/>
  <c r="C744" i="1"/>
  <c r="D744" i="1"/>
  <c r="C745" i="1"/>
  <c r="D745" i="1"/>
  <c r="C746" i="1"/>
  <c r="D746" i="1"/>
  <c r="C747" i="1"/>
  <c r="D747" i="1"/>
  <c r="C748" i="1"/>
  <c r="D748" i="1"/>
  <c r="C749" i="1"/>
  <c r="D749" i="1"/>
  <c r="C750" i="1"/>
  <c r="D750" i="1"/>
  <c r="C751" i="1"/>
  <c r="D751" i="1"/>
  <c r="C752" i="1"/>
  <c r="D752" i="1"/>
  <c r="C753" i="1"/>
  <c r="D753" i="1"/>
  <c r="C754" i="1"/>
  <c r="D754" i="1"/>
  <c r="C755" i="1"/>
  <c r="D755" i="1"/>
  <c r="C756" i="1"/>
  <c r="D756" i="1"/>
  <c r="C757" i="1"/>
  <c r="D757" i="1"/>
  <c r="C758" i="1"/>
  <c r="D758" i="1"/>
  <c r="C759" i="1"/>
  <c r="D759" i="1"/>
  <c r="C760" i="1"/>
  <c r="D760" i="1"/>
  <c r="C761" i="1"/>
  <c r="D761" i="1"/>
  <c r="C762" i="1"/>
  <c r="D762" i="1"/>
  <c r="C763" i="1"/>
  <c r="D763" i="1"/>
  <c r="C764" i="1"/>
  <c r="D764" i="1"/>
  <c r="C765" i="1"/>
  <c r="D765" i="1"/>
  <c r="C766" i="1"/>
  <c r="D766" i="1"/>
  <c r="C767" i="1"/>
  <c r="D767" i="1"/>
  <c r="C768" i="1"/>
  <c r="D768" i="1"/>
  <c r="C769" i="1"/>
  <c r="D769" i="1"/>
  <c r="C770" i="1"/>
  <c r="D770" i="1"/>
  <c r="C771" i="1"/>
  <c r="D771" i="1"/>
  <c r="C772" i="1"/>
  <c r="D772" i="1"/>
  <c r="C773" i="1"/>
  <c r="D773" i="1"/>
  <c r="C774" i="1"/>
  <c r="D774" i="1"/>
  <c r="C775" i="1"/>
  <c r="D775" i="1"/>
  <c r="C776" i="1"/>
  <c r="D776" i="1"/>
  <c r="C777" i="1"/>
  <c r="D777" i="1"/>
  <c r="C778" i="1"/>
  <c r="D778" i="1"/>
  <c r="C779" i="1"/>
  <c r="D779" i="1"/>
  <c r="C780" i="1"/>
  <c r="D780" i="1"/>
  <c r="C781" i="1"/>
  <c r="D781" i="1"/>
  <c r="C782" i="1"/>
  <c r="D782" i="1"/>
  <c r="C783" i="1"/>
  <c r="D783" i="1"/>
  <c r="C784" i="1"/>
  <c r="D784" i="1"/>
  <c r="C785" i="1"/>
  <c r="D785" i="1"/>
  <c r="C786" i="1"/>
  <c r="D786" i="1"/>
  <c r="C787" i="1"/>
  <c r="D787" i="1"/>
  <c r="C788" i="1"/>
  <c r="D788" i="1"/>
  <c r="C789" i="1"/>
  <c r="D789" i="1"/>
  <c r="C790" i="1"/>
  <c r="D790" i="1"/>
  <c r="C791" i="1"/>
  <c r="D791" i="1"/>
  <c r="C792" i="1"/>
  <c r="D792" i="1"/>
  <c r="C793" i="1"/>
  <c r="D793" i="1"/>
  <c r="C794" i="1"/>
  <c r="D794" i="1"/>
  <c r="C795" i="1"/>
  <c r="D795" i="1"/>
  <c r="C796" i="1"/>
  <c r="D796" i="1"/>
  <c r="C797" i="1"/>
  <c r="D797" i="1"/>
  <c r="C798" i="1"/>
  <c r="D798" i="1"/>
  <c r="C799" i="1"/>
  <c r="D799" i="1"/>
  <c r="C800" i="1"/>
  <c r="D800" i="1"/>
  <c r="C801" i="1"/>
  <c r="D801" i="1"/>
  <c r="C802" i="1"/>
  <c r="D802" i="1"/>
  <c r="C803" i="1"/>
  <c r="D803" i="1"/>
  <c r="C804" i="1"/>
  <c r="D804" i="1"/>
  <c r="C805" i="1"/>
  <c r="D805" i="1"/>
  <c r="C806" i="1"/>
  <c r="D806" i="1"/>
  <c r="C807" i="1"/>
  <c r="D807" i="1"/>
  <c r="C808" i="1"/>
  <c r="D808" i="1"/>
  <c r="C809" i="1"/>
  <c r="D809" i="1"/>
  <c r="C810" i="1"/>
  <c r="D810" i="1"/>
  <c r="C811" i="1"/>
  <c r="D811" i="1"/>
  <c r="C812" i="1"/>
  <c r="D812" i="1"/>
  <c r="C813" i="1"/>
  <c r="D813" i="1"/>
  <c r="C814" i="1"/>
  <c r="D814" i="1"/>
  <c r="C815" i="1"/>
  <c r="D815" i="1"/>
  <c r="C816" i="1"/>
  <c r="D816" i="1"/>
  <c r="C817" i="1"/>
  <c r="D817" i="1"/>
  <c r="C818" i="1"/>
  <c r="D818" i="1"/>
  <c r="C819" i="1"/>
  <c r="D819" i="1"/>
  <c r="C820" i="1"/>
  <c r="D820" i="1"/>
  <c r="C821" i="1"/>
  <c r="D821" i="1"/>
  <c r="C822" i="1"/>
  <c r="D822" i="1"/>
  <c r="C823" i="1"/>
  <c r="D823" i="1"/>
  <c r="C824" i="1"/>
  <c r="D824" i="1"/>
  <c r="C825" i="1"/>
  <c r="D825" i="1"/>
  <c r="C826" i="1"/>
  <c r="D826" i="1"/>
  <c r="C827" i="1"/>
  <c r="D827" i="1"/>
  <c r="C828" i="1"/>
  <c r="D828" i="1"/>
  <c r="C829" i="1"/>
  <c r="D829" i="1"/>
  <c r="C830" i="1"/>
  <c r="D830" i="1"/>
  <c r="C831" i="1"/>
  <c r="D831" i="1"/>
  <c r="C832" i="1"/>
  <c r="D832" i="1"/>
  <c r="C833" i="1"/>
  <c r="D833" i="1"/>
  <c r="C834" i="1"/>
  <c r="D834" i="1"/>
  <c r="C835" i="1"/>
  <c r="D835" i="1"/>
  <c r="C836" i="1"/>
  <c r="D836" i="1"/>
  <c r="C837" i="1"/>
  <c r="D837" i="1"/>
  <c r="C838" i="1"/>
  <c r="D838" i="1"/>
  <c r="C839" i="1"/>
  <c r="D839" i="1"/>
  <c r="C840" i="1"/>
  <c r="D840" i="1"/>
  <c r="C841" i="1"/>
  <c r="D841" i="1"/>
  <c r="C842" i="1"/>
  <c r="D842" i="1"/>
  <c r="C843" i="1"/>
  <c r="D843" i="1"/>
  <c r="C844" i="1"/>
  <c r="D844" i="1"/>
  <c r="C845" i="1"/>
  <c r="D845" i="1"/>
  <c r="C846" i="1"/>
  <c r="D846" i="1"/>
  <c r="C847" i="1"/>
  <c r="D847" i="1"/>
  <c r="C848" i="1"/>
  <c r="D848" i="1"/>
  <c r="C849" i="1"/>
  <c r="D849" i="1"/>
  <c r="C850" i="1"/>
  <c r="D850" i="1"/>
  <c r="C851" i="1"/>
  <c r="D851" i="1"/>
  <c r="C852" i="1"/>
  <c r="D852" i="1"/>
  <c r="C853" i="1"/>
  <c r="D853" i="1"/>
  <c r="C854" i="1"/>
  <c r="D854" i="1"/>
  <c r="C855" i="1"/>
  <c r="D855" i="1"/>
  <c r="C856" i="1"/>
  <c r="D856" i="1"/>
  <c r="C857" i="1"/>
  <c r="D857" i="1"/>
  <c r="C858" i="1"/>
  <c r="D858" i="1"/>
  <c r="C859" i="1"/>
  <c r="D859" i="1"/>
  <c r="C860" i="1"/>
  <c r="D860" i="1"/>
  <c r="C861" i="1"/>
  <c r="D861" i="1"/>
  <c r="C862" i="1"/>
  <c r="D862" i="1"/>
  <c r="C863" i="1"/>
  <c r="D863" i="1"/>
  <c r="C864" i="1"/>
  <c r="D864" i="1"/>
  <c r="C865" i="1"/>
  <c r="D865" i="1"/>
  <c r="C866" i="1"/>
  <c r="D866" i="1"/>
  <c r="C867" i="1"/>
  <c r="D867" i="1"/>
  <c r="C868" i="1"/>
  <c r="D868" i="1"/>
  <c r="C869" i="1"/>
  <c r="D869" i="1"/>
  <c r="C870" i="1"/>
  <c r="D870" i="1"/>
  <c r="C871" i="1"/>
  <c r="D871" i="1"/>
  <c r="C872" i="1"/>
  <c r="D872" i="1"/>
  <c r="C873" i="1"/>
  <c r="D873" i="1"/>
  <c r="C874" i="1"/>
  <c r="D874" i="1"/>
  <c r="C875" i="1"/>
  <c r="D875" i="1"/>
  <c r="C876" i="1"/>
  <c r="D876" i="1"/>
  <c r="C877" i="1"/>
  <c r="D877" i="1"/>
  <c r="C878" i="1"/>
  <c r="D878" i="1"/>
  <c r="C879" i="1"/>
  <c r="D879" i="1"/>
  <c r="C880" i="1"/>
  <c r="D880" i="1"/>
  <c r="C881" i="1"/>
  <c r="D881" i="1"/>
  <c r="C882" i="1"/>
  <c r="D882" i="1"/>
  <c r="C883" i="1"/>
  <c r="D883" i="1"/>
  <c r="C884" i="1"/>
  <c r="D884" i="1"/>
  <c r="C885" i="1"/>
  <c r="D885" i="1"/>
  <c r="C886" i="1"/>
  <c r="D886" i="1"/>
  <c r="C887" i="1"/>
  <c r="D887" i="1"/>
  <c r="C888" i="1"/>
  <c r="D888" i="1"/>
  <c r="C889" i="1"/>
  <c r="D889" i="1"/>
  <c r="C890" i="1"/>
  <c r="D890" i="1"/>
  <c r="C891" i="1"/>
  <c r="D891" i="1"/>
  <c r="C892" i="1"/>
  <c r="D892" i="1"/>
  <c r="C893" i="1"/>
  <c r="D893" i="1"/>
  <c r="C894" i="1"/>
  <c r="D894" i="1"/>
  <c r="C895" i="1"/>
  <c r="D895" i="1"/>
  <c r="C896" i="1"/>
  <c r="D896" i="1"/>
  <c r="C897" i="1"/>
  <c r="D897" i="1"/>
  <c r="C898" i="1"/>
  <c r="D898" i="1"/>
  <c r="C899" i="1"/>
  <c r="D899" i="1"/>
  <c r="C900" i="1"/>
  <c r="D900" i="1"/>
  <c r="C901" i="1"/>
  <c r="D901" i="1"/>
  <c r="C902" i="1"/>
  <c r="D902" i="1"/>
  <c r="C903" i="1"/>
  <c r="D903" i="1"/>
  <c r="C904" i="1"/>
  <c r="D904" i="1"/>
  <c r="C905" i="1"/>
  <c r="D905" i="1"/>
  <c r="C906" i="1"/>
  <c r="D906" i="1"/>
  <c r="C907" i="1"/>
  <c r="D907" i="1"/>
  <c r="C908" i="1"/>
  <c r="D908" i="1"/>
  <c r="C909" i="1"/>
  <c r="D909" i="1"/>
  <c r="C910" i="1"/>
  <c r="D910" i="1"/>
  <c r="C911" i="1"/>
  <c r="D911" i="1"/>
  <c r="C912" i="1"/>
  <c r="D912" i="1"/>
  <c r="C913" i="1"/>
  <c r="D913" i="1"/>
  <c r="C914" i="1"/>
  <c r="D914" i="1"/>
  <c r="C915" i="1"/>
  <c r="D915" i="1"/>
  <c r="C916" i="1"/>
  <c r="D916" i="1"/>
  <c r="C917" i="1"/>
  <c r="D917" i="1"/>
  <c r="C918" i="1"/>
  <c r="D918" i="1"/>
  <c r="C919" i="1"/>
  <c r="D919" i="1"/>
  <c r="C920" i="1"/>
  <c r="D920" i="1"/>
  <c r="C921" i="1"/>
  <c r="D921" i="1"/>
  <c r="C922" i="1"/>
  <c r="D922" i="1"/>
  <c r="C923" i="1"/>
  <c r="D923" i="1"/>
  <c r="C924" i="1"/>
  <c r="D924" i="1"/>
  <c r="C925" i="1"/>
  <c r="D925" i="1"/>
  <c r="C926" i="1"/>
  <c r="D926" i="1"/>
  <c r="C927" i="1"/>
  <c r="D927" i="1"/>
  <c r="C928" i="1"/>
  <c r="D928" i="1"/>
  <c r="C929" i="1"/>
  <c r="D929" i="1"/>
  <c r="C930" i="1"/>
  <c r="D930" i="1"/>
  <c r="C931" i="1"/>
  <c r="D931" i="1"/>
  <c r="C932" i="1"/>
  <c r="D932" i="1"/>
  <c r="C933" i="1"/>
  <c r="D933" i="1"/>
  <c r="C934" i="1"/>
  <c r="D934" i="1"/>
  <c r="C935" i="1"/>
  <c r="D935" i="1"/>
  <c r="C936" i="1"/>
  <c r="D936" i="1"/>
  <c r="C937" i="1"/>
  <c r="D937" i="1"/>
  <c r="C938" i="1"/>
  <c r="D938" i="1"/>
  <c r="C939" i="1"/>
  <c r="D939" i="1"/>
  <c r="C940" i="1"/>
  <c r="D940" i="1"/>
  <c r="C941" i="1"/>
  <c r="D941" i="1"/>
  <c r="C942" i="1"/>
  <c r="D942" i="1"/>
  <c r="C943" i="1"/>
  <c r="D943" i="1"/>
  <c r="C944" i="1"/>
  <c r="D944" i="1"/>
  <c r="C945" i="1"/>
  <c r="D945" i="1"/>
  <c r="C946" i="1"/>
  <c r="D946" i="1"/>
  <c r="C947" i="1"/>
  <c r="D947" i="1"/>
  <c r="C948" i="1"/>
  <c r="D948" i="1"/>
  <c r="C949" i="1"/>
  <c r="D949" i="1"/>
  <c r="C950" i="1"/>
  <c r="D950" i="1"/>
  <c r="C951" i="1"/>
  <c r="D951" i="1"/>
  <c r="C952" i="1"/>
  <c r="D952" i="1"/>
  <c r="C953" i="1"/>
  <c r="D953" i="1"/>
  <c r="C954" i="1"/>
  <c r="D954" i="1"/>
  <c r="C955" i="1"/>
  <c r="D955" i="1"/>
  <c r="C956" i="1"/>
  <c r="D956" i="1"/>
  <c r="C957" i="1"/>
  <c r="D957" i="1"/>
  <c r="C958" i="1"/>
  <c r="D958" i="1"/>
  <c r="C959" i="1"/>
  <c r="D959" i="1"/>
  <c r="C960" i="1"/>
  <c r="D960" i="1"/>
  <c r="C961" i="1"/>
  <c r="D961" i="1"/>
  <c r="C962" i="1"/>
  <c r="D962" i="1"/>
  <c r="C963" i="1"/>
  <c r="D963" i="1"/>
  <c r="C964" i="1"/>
  <c r="D964" i="1"/>
  <c r="C965" i="1"/>
  <c r="D965" i="1"/>
  <c r="C966" i="1"/>
  <c r="D966" i="1"/>
  <c r="C967" i="1"/>
  <c r="D967" i="1"/>
  <c r="C968" i="1"/>
  <c r="D968" i="1"/>
  <c r="C969" i="1"/>
  <c r="D969" i="1"/>
  <c r="C970" i="1"/>
  <c r="D970" i="1"/>
  <c r="C971" i="1"/>
  <c r="D971" i="1"/>
  <c r="C972" i="1"/>
  <c r="D972" i="1"/>
  <c r="C973" i="1"/>
  <c r="D973" i="1"/>
  <c r="C974" i="1"/>
  <c r="D974" i="1"/>
  <c r="C975" i="1"/>
  <c r="D975" i="1"/>
  <c r="C976" i="1"/>
  <c r="D976" i="1"/>
  <c r="C977" i="1"/>
  <c r="D977" i="1"/>
  <c r="C978" i="1"/>
  <c r="D978" i="1"/>
  <c r="C979" i="1"/>
  <c r="D979" i="1"/>
  <c r="C980" i="1"/>
  <c r="D980" i="1"/>
  <c r="C981" i="1"/>
  <c r="D981" i="1"/>
  <c r="C982" i="1"/>
  <c r="D982" i="1"/>
  <c r="C983" i="1"/>
  <c r="D983" i="1"/>
  <c r="C984" i="1"/>
  <c r="D984" i="1"/>
  <c r="C985" i="1"/>
  <c r="D985" i="1"/>
  <c r="C986" i="1"/>
  <c r="D986" i="1"/>
  <c r="C987" i="1"/>
  <c r="D987" i="1"/>
  <c r="C988" i="1"/>
  <c r="D988" i="1"/>
  <c r="C989" i="1"/>
  <c r="D989" i="1"/>
  <c r="C990" i="1"/>
  <c r="D990" i="1"/>
  <c r="C991" i="1"/>
  <c r="D991" i="1"/>
  <c r="C992" i="1"/>
  <c r="D992" i="1"/>
  <c r="C993" i="1"/>
  <c r="D993" i="1"/>
  <c r="C994" i="1"/>
  <c r="D994" i="1"/>
  <c r="C995" i="1"/>
  <c r="D995" i="1"/>
  <c r="C996" i="1"/>
  <c r="D996" i="1"/>
  <c r="C997" i="1"/>
  <c r="D997" i="1"/>
  <c r="C998" i="1"/>
  <c r="D998" i="1"/>
  <c r="C999" i="1"/>
  <c r="D999" i="1"/>
  <c r="C1000" i="1"/>
  <c r="D1000" i="1"/>
  <c r="C1001" i="1"/>
  <c r="D1001" i="1"/>
  <c r="C1002" i="1"/>
  <c r="D1002" i="1"/>
  <c r="C1003" i="1"/>
  <c r="D1003" i="1"/>
  <c r="C1004" i="1"/>
  <c r="D1004" i="1"/>
  <c r="C1005" i="1"/>
  <c r="D1005" i="1"/>
  <c r="C1006" i="1"/>
  <c r="D1006" i="1"/>
  <c r="C1007" i="1"/>
  <c r="D1007" i="1"/>
  <c r="C1008" i="1"/>
  <c r="D1008" i="1"/>
  <c r="C1009" i="1"/>
  <c r="D1009" i="1"/>
  <c r="C1010" i="1"/>
  <c r="D1010" i="1"/>
  <c r="C1011" i="1"/>
  <c r="D1011" i="1"/>
  <c r="C1012" i="1"/>
  <c r="D1012" i="1"/>
  <c r="C1013" i="1"/>
  <c r="D1013" i="1"/>
  <c r="C1014" i="1"/>
  <c r="D1014" i="1"/>
  <c r="C1015" i="1"/>
  <c r="D1015" i="1"/>
  <c r="C1016" i="1"/>
  <c r="D1016" i="1"/>
  <c r="C1017" i="1"/>
  <c r="D1017" i="1"/>
  <c r="C1018" i="1"/>
  <c r="D1018" i="1"/>
  <c r="C1019" i="1"/>
  <c r="D1019" i="1"/>
  <c r="C1020" i="1"/>
  <c r="D1020" i="1"/>
  <c r="C1021" i="1"/>
  <c r="D1021" i="1"/>
  <c r="C1022" i="1"/>
  <c r="D1022" i="1"/>
  <c r="C1023" i="1"/>
  <c r="D1023" i="1"/>
  <c r="C1024" i="1"/>
  <c r="D1024" i="1"/>
  <c r="C1025" i="1"/>
  <c r="D1025" i="1"/>
  <c r="C1026" i="1"/>
  <c r="D1026" i="1"/>
  <c r="C1027" i="1"/>
  <c r="D1027" i="1"/>
  <c r="C1028" i="1"/>
  <c r="D1028" i="1"/>
  <c r="C1029" i="1"/>
  <c r="D1029" i="1"/>
  <c r="C1030" i="1"/>
  <c r="D1030" i="1"/>
  <c r="C1031" i="1"/>
  <c r="D1031" i="1"/>
  <c r="C1032" i="1"/>
  <c r="D1032" i="1"/>
  <c r="C1033" i="1"/>
  <c r="D1033" i="1"/>
  <c r="C1034" i="1"/>
  <c r="D1034" i="1"/>
  <c r="C1035" i="1"/>
  <c r="D1035" i="1"/>
  <c r="C1036" i="1"/>
  <c r="D1036" i="1"/>
  <c r="C1037" i="1"/>
  <c r="D1037" i="1"/>
  <c r="C1038" i="1"/>
  <c r="D1038" i="1"/>
  <c r="C1039" i="1"/>
  <c r="D1039" i="1"/>
  <c r="C1040" i="1"/>
  <c r="D1040" i="1"/>
  <c r="C1041" i="1"/>
  <c r="D1041" i="1"/>
  <c r="C1042" i="1"/>
  <c r="D1042" i="1"/>
  <c r="C1043" i="1"/>
  <c r="D1043" i="1"/>
  <c r="C1044" i="1"/>
  <c r="D1044" i="1"/>
  <c r="C1045" i="1"/>
  <c r="D1045" i="1"/>
  <c r="C1046" i="1"/>
  <c r="D1046" i="1"/>
  <c r="C1047" i="1"/>
  <c r="D1047" i="1"/>
  <c r="C1048" i="1"/>
  <c r="D1048" i="1"/>
  <c r="C1049" i="1"/>
  <c r="D1049" i="1"/>
  <c r="C1050" i="1"/>
  <c r="D1050" i="1"/>
  <c r="C1051" i="1"/>
  <c r="D1051" i="1"/>
  <c r="C1052" i="1"/>
  <c r="D1052" i="1"/>
  <c r="C1053" i="1"/>
  <c r="D1053" i="1"/>
  <c r="C1054" i="1"/>
  <c r="D1054" i="1"/>
  <c r="C1055" i="1"/>
  <c r="D1055" i="1"/>
  <c r="C1056" i="1"/>
  <c r="D1056" i="1"/>
  <c r="C1057" i="1"/>
  <c r="D1057" i="1"/>
  <c r="C1058" i="1"/>
  <c r="D1058" i="1"/>
  <c r="C1059" i="1"/>
  <c r="D1059" i="1"/>
  <c r="C1060" i="1"/>
  <c r="D1060" i="1"/>
  <c r="C1061" i="1"/>
  <c r="D1061" i="1"/>
  <c r="C1062" i="1"/>
  <c r="D1062" i="1"/>
  <c r="C1063" i="1"/>
  <c r="D1063" i="1"/>
  <c r="C1064" i="1"/>
  <c r="D1064" i="1"/>
  <c r="C1065" i="1"/>
  <c r="D1065" i="1"/>
  <c r="C1066" i="1"/>
  <c r="D1066" i="1"/>
  <c r="C1067" i="1"/>
  <c r="D1067" i="1"/>
  <c r="C1068" i="1"/>
  <c r="D1068" i="1"/>
  <c r="C1069" i="1"/>
  <c r="D1069" i="1"/>
  <c r="C1070" i="1"/>
  <c r="D1070" i="1"/>
  <c r="C1071" i="1"/>
  <c r="D1071" i="1"/>
  <c r="C1072" i="1"/>
  <c r="D1072" i="1"/>
  <c r="C1073" i="1"/>
  <c r="D1073" i="1"/>
  <c r="C1074" i="1"/>
  <c r="D1074" i="1"/>
  <c r="C1075" i="1"/>
  <c r="D1075" i="1"/>
  <c r="C1076" i="1"/>
  <c r="D1076" i="1"/>
  <c r="C1077" i="1"/>
  <c r="D1077" i="1"/>
  <c r="C1078" i="1"/>
  <c r="D1078" i="1"/>
  <c r="C1079" i="1"/>
  <c r="D1079" i="1"/>
  <c r="C1080" i="1"/>
  <c r="D1080" i="1"/>
  <c r="C1081" i="1"/>
  <c r="D1081" i="1"/>
  <c r="C1082" i="1"/>
  <c r="D1082" i="1"/>
  <c r="C1083" i="1"/>
  <c r="D1083" i="1"/>
  <c r="C1084" i="1"/>
  <c r="D1084" i="1"/>
  <c r="C1085" i="1"/>
  <c r="D1085" i="1"/>
  <c r="C1086" i="1"/>
  <c r="D1086" i="1"/>
  <c r="C1087" i="1"/>
  <c r="D1087" i="1"/>
  <c r="C1088" i="1"/>
  <c r="D1088" i="1"/>
  <c r="C1089" i="1"/>
  <c r="D1089" i="1"/>
  <c r="C1090" i="1"/>
  <c r="D1090" i="1"/>
  <c r="C1091" i="1"/>
  <c r="D1091" i="1"/>
  <c r="C1092" i="1"/>
  <c r="D1092" i="1"/>
  <c r="C1093" i="1"/>
  <c r="D1093" i="1"/>
  <c r="C1094" i="1"/>
  <c r="D1094" i="1"/>
  <c r="C1095" i="1"/>
  <c r="D1095" i="1"/>
  <c r="C1096" i="1"/>
  <c r="D1096" i="1"/>
  <c r="C1097" i="1"/>
  <c r="D1097" i="1"/>
  <c r="C1098" i="1"/>
  <c r="D1098" i="1"/>
  <c r="C1099" i="1"/>
  <c r="D1099" i="1"/>
  <c r="C1100" i="1"/>
  <c r="D1100" i="1"/>
  <c r="C1101" i="1"/>
  <c r="D1101" i="1"/>
  <c r="C1102" i="1"/>
  <c r="D1102" i="1"/>
  <c r="C1103" i="1"/>
  <c r="D1103" i="1"/>
  <c r="C1104" i="1"/>
  <c r="D1104" i="1"/>
  <c r="C1105" i="1"/>
  <c r="D1105" i="1"/>
  <c r="C1106" i="1"/>
  <c r="D1106" i="1"/>
  <c r="C1107" i="1"/>
  <c r="D1107" i="1"/>
  <c r="C1108" i="1"/>
  <c r="D1108" i="1"/>
  <c r="C1109" i="1"/>
  <c r="D1109" i="1"/>
  <c r="C1110" i="1"/>
  <c r="D1110" i="1"/>
  <c r="C1111" i="1"/>
  <c r="D1111" i="1"/>
  <c r="C1112" i="1"/>
  <c r="D1112" i="1"/>
  <c r="C1113" i="1"/>
  <c r="D1113" i="1"/>
  <c r="C1114" i="1"/>
  <c r="D1114" i="1"/>
  <c r="C1115" i="1"/>
  <c r="D1115" i="1"/>
  <c r="C1116" i="1"/>
  <c r="D1116" i="1"/>
  <c r="C1117" i="1"/>
  <c r="D1117" i="1"/>
  <c r="C1118" i="1"/>
  <c r="D1118" i="1"/>
  <c r="C1119" i="1"/>
  <c r="D1119" i="1"/>
  <c r="C1120" i="1"/>
  <c r="D1120" i="1"/>
  <c r="C1121" i="1"/>
  <c r="D1121" i="1"/>
  <c r="C1122" i="1"/>
  <c r="D1122" i="1"/>
  <c r="C1123" i="1"/>
  <c r="D1123" i="1"/>
  <c r="C1124" i="1"/>
  <c r="D1124" i="1"/>
  <c r="C1125" i="1"/>
  <c r="D1125" i="1"/>
  <c r="C1126" i="1"/>
  <c r="D1126" i="1"/>
  <c r="C1127" i="1"/>
  <c r="D1127" i="1"/>
  <c r="C1128" i="1"/>
  <c r="D1128" i="1"/>
  <c r="C1129" i="1"/>
  <c r="D1129" i="1"/>
  <c r="C1130" i="1"/>
  <c r="D1130" i="1"/>
  <c r="C1131" i="1"/>
  <c r="D1131" i="1"/>
  <c r="C1132" i="1"/>
  <c r="D1132" i="1"/>
  <c r="C1133" i="1"/>
  <c r="D1133" i="1"/>
  <c r="C1134" i="1"/>
  <c r="D1134" i="1"/>
  <c r="C1135" i="1"/>
  <c r="D1135" i="1"/>
  <c r="C1136" i="1"/>
  <c r="D1136" i="1"/>
  <c r="C1137" i="1"/>
  <c r="D1137" i="1"/>
  <c r="C1138" i="1"/>
  <c r="D1138" i="1"/>
  <c r="C1139" i="1"/>
  <c r="D1139" i="1"/>
  <c r="C1140" i="1"/>
  <c r="D1140" i="1"/>
  <c r="C1141" i="1"/>
  <c r="D1141" i="1"/>
  <c r="C1142" i="1"/>
  <c r="D1142" i="1"/>
  <c r="C1143" i="1"/>
  <c r="D1143" i="1"/>
  <c r="C1144" i="1"/>
  <c r="D1144" i="1"/>
  <c r="C1145" i="1"/>
  <c r="D1145" i="1"/>
  <c r="C1146" i="1"/>
  <c r="D1146" i="1"/>
  <c r="C1147" i="1"/>
  <c r="D1147" i="1"/>
  <c r="C1148" i="1"/>
  <c r="D1148" i="1"/>
  <c r="C1149" i="1"/>
  <c r="D1149" i="1"/>
  <c r="C1150" i="1"/>
  <c r="D1150" i="1"/>
  <c r="C1151" i="1"/>
  <c r="D1151" i="1"/>
  <c r="C1152" i="1"/>
  <c r="D1152" i="1"/>
  <c r="C1153" i="1"/>
  <c r="D1153" i="1"/>
  <c r="C1154" i="1"/>
  <c r="D1154" i="1"/>
  <c r="C1155" i="1"/>
  <c r="D1155" i="1"/>
  <c r="C1156" i="1"/>
  <c r="D1156" i="1"/>
  <c r="C1157" i="1"/>
  <c r="D1157" i="1"/>
  <c r="C1158" i="1"/>
  <c r="D1158" i="1"/>
  <c r="C1159" i="1"/>
  <c r="D1159" i="1"/>
  <c r="C1160" i="1"/>
  <c r="D1160" i="1"/>
  <c r="C1161" i="1"/>
  <c r="D1161" i="1"/>
  <c r="C1162" i="1"/>
  <c r="D1162" i="1"/>
  <c r="C1163" i="1"/>
  <c r="D1163" i="1"/>
  <c r="C1164" i="1"/>
  <c r="D1164" i="1"/>
  <c r="C1165" i="1"/>
  <c r="D1165" i="1"/>
  <c r="C1166" i="1"/>
  <c r="D1166" i="1"/>
  <c r="C1167" i="1"/>
  <c r="D1167" i="1"/>
  <c r="C1168" i="1"/>
  <c r="D1168" i="1"/>
  <c r="C1169" i="1"/>
  <c r="D1169" i="1"/>
  <c r="C1170" i="1"/>
  <c r="D1170" i="1"/>
  <c r="C1171" i="1"/>
  <c r="D1171" i="1"/>
  <c r="C1172" i="1"/>
  <c r="D1172" i="1"/>
  <c r="C1173" i="1"/>
  <c r="D1173" i="1"/>
  <c r="C1174" i="1"/>
  <c r="D1174" i="1"/>
  <c r="C1175" i="1"/>
  <c r="D1175" i="1"/>
  <c r="C1176" i="1"/>
  <c r="D1176" i="1"/>
  <c r="C1177" i="1"/>
  <c r="D1177" i="1"/>
  <c r="C1178" i="1"/>
  <c r="D1178" i="1"/>
  <c r="C1179" i="1"/>
  <c r="D1179" i="1"/>
  <c r="C1180" i="1"/>
  <c r="D1180" i="1"/>
  <c r="C1181" i="1"/>
  <c r="D1181" i="1"/>
  <c r="C1182" i="1"/>
  <c r="D1182" i="1"/>
  <c r="C1183" i="1"/>
  <c r="D1183" i="1"/>
  <c r="C1184" i="1"/>
  <c r="D1184" i="1"/>
  <c r="C1185" i="1"/>
  <c r="D1185" i="1"/>
  <c r="C1186" i="1"/>
  <c r="D1186" i="1"/>
  <c r="C1187" i="1"/>
  <c r="D1187" i="1"/>
  <c r="C1188" i="1"/>
  <c r="D1188" i="1"/>
  <c r="C1189" i="1"/>
  <c r="D1189" i="1"/>
  <c r="C1190" i="1"/>
  <c r="D1190" i="1"/>
  <c r="C1191" i="1"/>
  <c r="D1191" i="1"/>
  <c r="C1192" i="1"/>
  <c r="D1192" i="1"/>
  <c r="C1193" i="1"/>
  <c r="D1193" i="1"/>
  <c r="C1194" i="1"/>
  <c r="D1194" i="1"/>
  <c r="C1195" i="1"/>
  <c r="D1195" i="1"/>
  <c r="C1196" i="1"/>
  <c r="D1196" i="1"/>
  <c r="C1197" i="1"/>
  <c r="D1197" i="1"/>
  <c r="C1198" i="1"/>
  <c r="D1198" i="1"/>
  <c r="C1199" i="1"/>
  <c r="D1199" i="1"/>
  <c r="C1200" i="1"/>
  <c r="D1200" i="1"/>
  <c r="C1201" i="1"/>
  <c r="D1201" i="1"/>
  <c r="C1202" i="1"/>
  <c r="D1202" i="1"/>
  <c r="C1203" i="1"/>
  <c r="D1203" i="1"/>
  <c r="C1204" i="1"/>
  <c r="D1204" i="1"/>
  <c r="C1205" i="1"/>
  <c r="D1205" i="1"/>
  <c r="C1206" i="1"/>
  <c r="D1206" i="1"/>
  <c r="C1207" i="1"/>
  <c r="D1207" i="1"/>
  <c r="C1208" i="1"/>
  <c r="D1208" i="1"/>
  <c r="C1209" i="1"/>
  <c r="D1209" i="1"/>
  <c r="C1210" i="1"/>
  <c r="D1210" i="1"/>
  <c r="C1211" i="1"/>
  <c r="D1211" i="1"/>
  <c r="C1212" i="1"/>
  <c r="D1212" i="1"/>
  <c r="C1213" i="1"/>
  <c r="D1213" i="1"/>
  <c r="C1214" i="1"/>
  <c r="D1214" i="1"/>
  <c r="C1215" i="1"/>
  <c r="D1215" i="1"/>
  <c r="C1216" i="1"/>
  <c r="D1216" i="1"/>
  <c r="C1217" i="1"/>
  <c r="D1217" i="1"/>
  <c r="C1218" i="1"/>
  <c r="D1218" i="1"/>
  <c r="C1219" i="1"/>
  <c r="D1219" i="1"/>
  <c r="C1220" i="1"/>
  <c r="D1220" i="1"/>
  <c r="C1221" i="1"/>
  <c r="D1221" i="1"/>
  <c r="C1222" i="1"/>
  <c r="D1222" i="1"/>
  <c r="C1223" i="1"/>
  <c r="D1223" i="1"/>
  <c r="C1224" i="1"/>
  <c r="D1224" i="1"/>
  <c r="C1225" i="1"/>
  <c r="D1225" i="1"/>
  <c r="C1226" i="1"/>
  <c r="D1226" i="1"/>
  <c r="C1227" i="1"/>
  <c r="D1227" i="1"/>
  <c r="C1228" i="1"/>
  <c r="D1228" i="1"/>
  <c r="C1229" i="1"/>
  <c r="D1229" i="1"/>
  <c r="C1230" i="1"/>
  <c r="D1230" i="1"/>
  <c r="C1231" i="1"/>
  <c r="D1231" i="1"/>
  <c r="C1232" i="1"/>
  <c r="D1232" i="1"/>
  <c r="C1233" i="1"/>
  <c r="D1233" i="1"/>
  <c r="C1234" i="1"/>
  <c r="D1234" i="1"/>
  <c r="C1235" i="1"/>
  <c r="D1235" i="1"/>
  <c r="C1236" i="1"/>
  <c r="D1236" i="1"/>
  <c r="C1237" i="1"/>
  <c r="D1237" i="1"/>
  <c r="C1238" i="1"/>
  <c r="D1238" i="1"/>
  <c r="C1239" i="1"/>
  <c r="D1239" i="1"/>
  <c r="C1240" i="1"/>
  <c r="D1240" i="1"/>
  <c r="C1241" i="1"/>
  <c r="D1241" i="1"/>
  <c r="C1242" i="1"/>
  <c r="D1242" i="1"/>
  <c r="C1243" i="1"/>
  <c r="D1243" i="1"/>
  <c r="C1244" i="1"/>
  <c r="D1244" i="1"/>
  <c r="C1245" i="1"/>
  <c r="D1245" i="1"/>
  <c r="C1246" i="1"/>
  <c r="D1246" i="1"/>
  <c r="C1247" i="1"/>
  <c r="D1247" i="1"/>
  <c r="C1248" i="1"/>
  <c r="D1248" i="1"/>
  <c r="C1249" i="1"/>
  <c r="D1249" i="1"/>
  <c r="C1250" i="1"/>
  <c r="D1250" i="1"/>
  <c r="C1251" i="1"/>
  <c r="D1251" i="1"/>
  <c r="C1252" i="1"/>
  <c r="D1252" i="1"/>
  <c r="C1253" i="1"/>
  <c r="D1253" i="1"/>
  <c r="C1254" i="1"/>
  <c r="D1254" i="1"/>
  <c r="C1255" i="1"/>
  <c r="D1255" i="1"/>
  <c r="C1256" i="1"/>
  <c r="D1256" i="1"/>
  <c r="C1257" i="1"/>
  <c r="D1257" i="1"/>
  <c r="C1258" i="1"/>
  <c r="D1258" i="1"/>
  <c r="C1259" i="1"/>
  <c r="D1259" i="1"/>
  <c r="C1260" i="1"/>
  <c r="D1260" i="1"/>
  <c r="C1261" i="1"/>
  <c r="D1261" i="1"/>
  <c r="C1262" i="1"/>
  <c r="D1262" i="1"/>
  <c r="C1263" i="1"/>
  <c r="D1263" i="1"/>
  <c r="C1264" i="1"/>
  <c r="D1264" i="1"/>
  <c r="C1265" i="1"/>
  <c r="D1265" i="1"/>
  <c r="C1266" i="1"/>
  <c r="D1266" i="1"/>
  <c r="C1267" i="1"/>
  <c r="D1267" i="1"/>
  <c r="C1268" i="1"/>
  <c r="D1268" i="1"/>
  <c r="C1269" i="1"/>
  <c r="D1269" i="1"/>
  <c r="C1270" i="1"/>
  <c r="D1270" i="1"/>
  <c r="C1271" i="1"/>
  <c r="D1271" i="1"/>
  <c r="C1272" i="1"/>
  <c r="D1272" i="1"/>
  <c r="C1273" i="1"/>
  <c r="D1273" i="1"/>
  <c r="C1274" i="1"/>
  <c r="D1274" i="1"/>
  <c r="C1275" i="1"/>
  <c r="D1275" i="1"/>
  <c r="C1276" i="1"/>
  <c r="D1276" i="1"/>
  <c r="C1277" i="1"/>
  <c r="D1277" i="1"/>
  <c r="C1278" i="1"/>
  <c r="D1278" i="1"/>
  <c r="C1279" i="1"/>
  <c r="D1279" i="1"/>
  <c r="C1280" i="1"/>
  <c r="D1280" i="1"/>
  <c r="C1281" i="1"/>
  <c r="D1281" i="1"/>
  <c r="C1282" i="1"/>
  <c r="D1282" i="1"/>
  <c r="C1283" i="1"/>
  <c r="D1283" i="1"/>
  <c r="C1284" i="1"/>
  <c r="D1284" i="1"/>
  <c r="C1285" i="1"/>
  <c r="D1285" i="1"/>
  <c r="C1286" i="1"/>
  <c r="D1286" i="1"/>
  <c r="C1287" i="1"/>
  <c r="D1287" i="1"/>
  <c r="C1288" i="1"/>
  <c r="D1288" i="1"/>
  <c r="C1289" i="1"/>
  <c r="D1289" i="1"/>
  <c r="C1290" i="1"/>
  <c r="D1290" i="1"/>
  <c r="C1291" i="1"/>
  <c r="D1291" i="1"/>
  <c r="C1292" i="1"/>
  <c r="D1292" i="1"/>
  <c r="C1293" i="1"/>
  <c r="D1293" i="1"/>
  <c r="C1294" i="1"/>
  <c r="D1294" i="1"/>
  <c r="C1295" i="1"/>
  <c r="D1295" i="1"/>
  <c r="C1296" i="1"/>
  <c r="D1296" i="1"/>
  <c r="C1297" i="1"/>
  <c r="D1297" i="1"/>
  <c r="C1298" i="1"/>
  <c r="D1298" i="1"/>
  <c r="C1299" i="1"/>
  <c r="D1299" i="1"/>
  <c r="C1300" i="1"/>
  <c r="D1300" i="1"/>
  <c r="C1301" i="1"/>
  <c r="D1301" i="1"/>
  <c r="C1302" i="1"/>
  <c r="D1302" i="1"/>
  <c r="C1303" i="1"/>
  <c r="D1303" i="1"/>
  <c r="C1304" i="1"/>
  <c r="D1304" i="1"/>
  <c r="C1305" i="1"/>
  <c r="D1305" i="1"/>
  <c r="C1306" i="1"/>
  <c r="D1306" i="1"/>
  <c r="C1307" i="1"/>
  <c r="D1307" i="1"/>
  <c r="C1308" i="1"/>
  <c r="D1308" i="1"/>
  <c r="C1309" i="1"/>
  <c r="D1309" i="1"/>
  <c r="C1310" i="1"/>
  <c r="D1310" i="1"/>
  <c r="C1311" i="1"/>
  <c r="D1311" i="1"/>
  <c r="C1312" i="1"/>
  <c r="D1312" i="1"/>
  <c r="C1313" i="1"/>
  <c r="D1313" i="1"/>
  <c r="C1314" i="1"/>
  <c r="D1314" i="1"/>
  <c r="C1315" i="1"/>
  <c r="D1315" i="1"/>
  <c r="C1316" i="1"/>
  <c r="D1316" i="1"/>
  <c r="C1317" i="1"/>
  <c r="D1317" i="1"/>
  <c r="C1318" i="1"/>
  <c r="D1318" i="1"/>
  <c r="C1319" i="1"/>
  <c r="D1319" i="1"/>
  <c r="C1320" i="1"/>
  <c r="D1320" i="1"/>
  <c r="C1321" i="1"/>
  <c r="D1321" i="1"/>
  <c r="C1322" i="1"/>
  <c r="D1322" i="1"/>
  <c r="C1323" i="1"/>
  <c r="D1323" i="1"/>
  <c r="C1324" i="1"/>
  <c r="D1324" i="1"/>
  <c r="C1325" i="1"/>
  <c r="D1325" i="1"/>
  <c r="C1326" i="1"/>
  <c r="D1326" i="1"/>
  <c r="C1327" i="1"/>
  <c r="D1327" i="1"/>
  <c r="C1328" i="1"/>
  <c r="D1328" i="1"/>
  <c r="C1329" i="1"/>
  <c r="D1329" i="1"/>
  <c r="C1330" i="1"/>
  <c r="D1330" i="1"/>
  <c r="C1331" i="1"/>
  <c r="D1331" i="1"/>
  <c r="C1332" i="1"/>
  <c r="D1332" i="1"/>
  <c r="C1333" i="1"/>
  <c r="D1333" i="1"/>
  <c r="C1334" i="1"/>
  <c r="D1334" i="1"/>
  <c r="C1335" i="1"/>
  <c r="D1335" i="1"/>
  <c r="C1336" i="1"/>
  <c r="D1336" i="1"/>
  <c r="C1337" i="1"/>
  <c r="D1337" i="1"/>
  <c r="C1338" i="1"/>
  <c r="D1338" i="1"/>
  <c r="C1339" i="1"/>
  <c r="D1339" i="1"/>
  <c r="C1340" i="1"/>
  <c r="D1340" i="1"/>
  <c r="C1341" i="1"/>
  <c r="D1341" i="1"/>
  <c r="C1342" i="1"/>
  <c r="D1342" i="1"/>
  <c r="C1343" i="1"/>
  <c r="D1343" i="1"/>
  <c r="C1344" i="1"/>
  <c r="D1344" i="1"/>
  <c r="C1345" i="1"/>
  <c r="D1345" i="1"/>
  <c r="C1346" i="1"/>
  <c r="D1346" i="1"/>
  <c r="C1347" i="1"/>
  <c r="D1347" i="1"/>
  <c r="C1348" i="1"/>
  <c r="D1348" i="1"/>
  <c r="C1349" i="1"/>
  <c r="D1349" i="1"/>
  <c r="C1350" i="1"/>
  <c r="D1350" i="1"/>
  <c r="C1351" i="1"/>
  <c r="D1351" i="1"/>
  <c r="C1352" i="1"/>
  <c r="D1352" i="1"/>
  <c r="C1353" i="1"/>
  <c r="D1353" i="1"/>
  <c r="C1354" i="1"/>
  <c r="D1354" i="1"/>
  <c r="C1355" i="1"/>
  <c r="D1355" i="1"/>
  <c r="C1356" i="1"/>
  <c r="D1356" i="1"/>
  <c r="C1357" i="1"/>
  <c r="D1357" i="1"/>
  <c r="C1358" i="1"/>
  <c r="D1358" i="1"/>
  <c r="C1359" i="1"/>
  <c r="D1359" i="1"/>
  <c r="C1360" i="1"/>
  <c r="D1360" i="1"/>
  <c r="C1361" i="1"/>
  <c r="D1361" i="1"/>
  <c r="C1362" i="1"/>
  <c r="D1362" i="1"/>
  <c r="C1363" i="1"/>
  <c r="D1363" i="1"/>
  <c r="C1364" i="1"/>
  <c r="D1364" i="1"/>
  <c r="C1365" i="1"/>
  <c r="D1365" i="1"/>
  <c r="C1366" i="1"/>
  <c r="D1366" i="1"/>
  <c r="C1367" i="1"/>
  <c r="D1367" i="1"/>
  <c r="C1368" i="1"/>
  <c r="D1368" i="1"/>
  <c r="C1369" i="1"/>
  <c r="D1369" i="1"/>
  <c r="C1370" i="1"/>
  <c r="D1370" i="1"/>
  <c r="C1371" i="1"/>
  <c r="D1371" i="1"/>
  <c r="C1372" i="1"/>
  <c r="D1372" i="1"/>
  <c r="C1373" i="1"/>
  <c r="D1373" i="1"/>
  <c r="C1374" i="1"/>
  <c r="D1374" i="1"/>
  <c r="C1375" i="1"/>
  <c r="D1375" i="1"/>
  <c r="C1376" i="1"/>
  <c r="D1376" i="1"/>
  <c r="C1377" i="1"/>
  <c r="D1377" i="1"/>
  <c r="C1378" i="1"/>
  <c r="D1378" i="1"/>
  <c r="C1379" i="1"/>
  <c r="D1379" i="1"/>
  <c r="C1380" i="1"/>
  <c r="D1380" i="1"/>
  <c r="C1381" i="1"/>
  <c r="D1381" i="1"/>
  <c r="C1382" i="1"/>
  <c r="D1382" i="1"/>
  <c r="C1383" i="1"/>
  <c r="D1383" i="1"/>
  <c r="C1384" i="1"/>
  <c r="D1384" i="1"/>
  <c r="C1385" i="1"/>
  <c r="D1385" i="1"/>
  <c r="C1386" i="1"/>
  <c r="D1386" i="1"/>
  <c r="C1387" i="1"/>
  <c r="D1387" i="1"/>
  <c r="C1388" i="1"/>
  <c r="D1388" i="1"/>
  <c r="C1389" i="1"/>
  <c r="D1389" i="1"/>
  <c r="C1390" i="1"/>
  <c r="D1390" i="1"/>
  <c r="C1391" i="1"/>
  <c r="D1391" i="1"/>
  <c r="C1392" i="1"/>
  <c r="D1392" i="1"/>
  <c r="C1393" i="1"/>
  <c r="D1393" i="1"/>
  <c r="C1394" i="1"/>
  <c r="D1394" i="1"/>
  <c r="C1395" i="1"/>
  <c r="D1395" i="1"/>
  <c r="C1396" i="1"/>
  <c r="D1396" i="1"/>
  <c r="C1397" i="1"/>
  <c r="D1397" i="1"/>
  <c r="C1398" i="1"/>
  <c r="D1398" i="1"/>
  <c r="C1399" i="1"/>
  <c r="D1399" i="1"/>
  <c r="C1400" i="1"/>
  <c r="D1400" i="1"/>
  <c r="C1401" i="1"/>
  <c r="D1401" i="1"/>
  <c r="C1402" i="1"/>
  <c r="D1402" i="1"/>
  <c r="C1403" i="1"/>
  <c r="D1403" i="1"/>
  <c r="C1404" i="1"/>
  <c r="D1404" i="1"/>
  <c r="C1405" i="1"/>
  <c r="D1405" i="1"/>
  <c r="C1406" i="1"/>
  <c r="D1406" i="1"/>
  <c r="C1407" i="1"/>
  <c r="D1407" i="1"/>
  <c r="C1408" i="1"/>
  <c r="D1408" i="1"/>
  <c r="C1409" i="1"/>
  <c r="D1409" i="1"/>
  <c r="C1410" i="1"/>
  <c r="D1410" i="1"/>
  <c r="C1411" i="1"/>
  <c r="D1411" i="1"/>
  <c r="C1412" i="1"/>
  <c r="D1412" i="1"/>
  <c r="C1413" i="1"/>
  <c r="D1413" i="1"/>
  <c r="C1414" i="1"/>
  <c r="D1414" i="1"/>
  <c r="C1415" i="1"/>
  <c r="D1415" i="1"/>
  <c r="C1416" i="1"/>
  <c r="D1416" i="1"/>
  <c r="C1417" i="1"/>
  <c r="D1417" i="1"/>
  <c r="C1418" i="1"/>
  <c r="D1418" i="1"/>
  <c r="C1419" i="1"/>
  <c r="D1419" i="1"/>
  <c r="C1420" i="1"/>
  <c r="D1420" i="1"/>
  <c r="C1421" i="1"/>
  <c r="D1421" i="1"/>
  <c r="C1422" i="1"/>
  <c r="D1422" i="1"/>
  <c r="C1423" i="1"/>
  <c r="D1423" i="1"/>
  <c r="C1424" i="1"/>
  <c r="D1424" i="1"/>
  <c r="C1425" i="1"/>
  <c r="D1425" i="1"/>
  <c r="C1426" i="1"/>
  <c r="D1426" i="1"/>
  <c r="C1427" i="1"/>
  <c r="D1427" i="1"/>
  <c r="C1428" i="1"/>
  <c r="D1428" i="1"/>
  <c r="C1429" i="1"/>
  <c r="D1429" i="1"/>
  <c r="C1430" i="1"/>
  <c r="D1430" i="1"/>
  <c r="C1431" i="1"/>
  <c r="D1431" i="1"/>
  <c r="C1432" i="1"/>
  <c r="D1432" i="1"/>
  <c r="C1433" i="1"/>
  <c r="D1433" i="1"/>
  <c r="C1434" i="1"/>
  <c r="D1434" i="1"/>
  <c r="C1435" i="1"/>
  <c r="D1435" i="1"/>
  <c r="C1436" i="1"/>
  <c r="D1436" i="1"/>
  <c r="C1437" i="1"/>
  <c r="D1437" i="1"/>
  <c r="C1438" i="1"/>
  <c r="D1438" i="1"/>
  <c r="C1439" i="1"/>
  <c r="D1439" i="1"/>
  <c r="C1440" i="1"/>
  <c r="D1440" i="1"/>
  <c r="C1441" i="1"/>
  <c r="D1441" i="1"/>
  <c r="C1442" i="1"/>
  <c r="D1442" i="1"/>
  <c r="C1443" i="1"/>
  <c r="D1443" i="1"/>
  <c r="C1444" i="1"/>
  <c r="D1444" i="1"/>
  <c r="C1445" i="1"/>
  <c r="D1445" i="1"/>
  <c r="C1446" i="1"/>
  <c r="D1446" i="1"/>
  <c r="C1447" i="1"/>
  <c r="D1447" i="1"/>
  <c r="C1448" i="1"/>
  <c r="D1448" i="1"/>
  <c r="C1449" i="1"/>
  <c r="D1449" i="1"/>
  <c r="C1450" i="1"/>
  <c r="D1450" i="1"/>
  <c r="C1451" i="1"/>
  <c r="D1451" i="1"/>
  <c r="C1452" i="1"/>
  <c r="D1452" i="1"/>
  <c r="C1453" i="1"/>
  <c r="D1453" i="1"/>
  <c r="C1454" i="1"/>
  <c r="D1454" i="1"/>
  <c r="C1455" i="1"/>
  <c r="D1455" i="1"/>
  <c r="C1456" i="1"/>
  <c r="D1456" i="1"/>
  <c r="C1457" i="1"/>
  <c r="D1457" i="1"/>
  <c r="C1458" i="1"/>
  <c r="D1458" i="1"/>
  <c r="C1459" i="1"/>
  <c r="D1459" i="1"/>
  <c r="C1460" i="1"/>
  <c r="D1460" i="1"/>
  <c r="C1461" i="1"/>
  <c r="D1461" i="1"/>
  <c r="C1462" i="1"/>
  <c r="D1462" i="1"/>
  <c r="C1463" i="1"/>
  <c r="D1463" i="1"/>
  <c r="C1464" i="1"/>
  <c r="D1464" i="1"/>
  <c r="C1465" i="1"/>
  <c r="D1465" i="1"/>
  <c r="C1466" i="1"/>
  <c r="D1466" i="1"/>
  <c r="C1467" i="1"/>
  <c r="D1467" i="1"/>
  <c r="C1468" i="1"/>
  <c r="D1468" i="1"/>
  <c r="C1469" i="1"/>
  <c r="D1469" i="1"/>
  <c r="C1470" i="1"/>
  <c r="D1470" i="1"/>
  <c r="C1471" i="1"/>
  <c r="D1471" i="1"/>
  <c r="C1472" i="1"/>
  <c r="D1472" i="1"/>
  <c r="C1473" i="1"/>
  <c r="D1473" i="1"/>
  <c r="C1474" i="1"/>
  <c r="D1474" i="1"/>
  <c r="C1475" i="1"/>
  <c r="D1475" i="1"/>
  <c r="C1476" i="1"/>
  <c r="D1476" i="1"/>
  <c r="C1477" i="1"/>
  <c r="D1477" i="1"/>
  <c r="C1478" i="1"/>
  <c r="D1478" i="1"/>
  <c r="C1479" i="1"/>
  <c r="D1479" i="1"/>
  <c r="C1480" i="1"/>
  <c r="D1480" i="1"/>
  <c r="C1481" i="1"/>
  <c r="D1481" i="1"/>
  <c r="C1482" i="1"/>
  <c r="D1482" i="1"/>
  <c r="C1483" i="1"/>
  <c r="D1483" i="1"/>
  <c r="C1484" i="1"/>
  <c r="D1484" i="1"/>
  <c r="C1485" i="1"/>
  <c r="D1485" i="1"/>
  <c r="C1486" i="1"/>
  <c r="D1486" i="1"/>
  <c r="C1487" i="1"/>
  <c r="D1487" i="1"/>
  <c r="C1488" i="1"/>
  <c r="D1488" i="1"/>
  <c r="C1489" i="1"/>
  <c r="D1489" i="1"/>
  <c r="C1490" i="1"/>
  <c r="D1490" i="1"/>
  <c r="C1491" i="1"/>
  <c r="D1491" i="1"/>
  <c r="C1492" i="1"/>
  <c r="D1492" i="1"/>
  <c r="C1493" i="1"/>
  <c r="D1493" i="1"/>
  <c r="C1494" i="1"/>
  <c r="D1494" i="1"/>
  <c r="C1495" i="1"/>
  <c r="D1495" i="1"/>
  <c r="C1496" i="1"/>
  <c r="D1496" i="1"/>
  <c r="C1497" i="1"/>
  <c r="D1497" i="1"/>
  <c r="C1498" i="1"/>
  <c r="D1498" i="1"/>
  <c r="C1499" i="1"/>
  <c r="D1499" i="1"/>
  <c r="C1500" i="1"/>
  <c r="D1500" i="1"/>
  <c r="C1501" i="1"/>
  <c r="D1501" i="1"/>
  <c r="C1502" i="1"/>
  <c r="D1502" i="1"/>
  <c r="C1503" i="1"/>
  <c r="D1503" i="1"/>
  <c r="C1504" i="1"/>
  <c r="D1504" i="1"/>
  <c r="C1505" i="1"/>
  <c r="D1505" i="1"/>
  <c r="C1506" i="1"/>
  <c r="D1506" i="1"/>
  <c r="C1507" i="1"/>
  <c r="D1507" i="1"/>
  <c r="C1508" i="1"/>
  <c r="D1508" i="1"/>
  <c r="C1509" i="1"/>
  <c r="D1509" i="1"/>
  <c r="C1510" i="1"/>
  <c r="D1510" i="1"/>
  <c r="C1511" i="1"/>
  <c r="D1511" i="1"/>
  <c r="C1512" i="1"/>
  <c r="D1512" i="1"/>
  <c r="C1513" i="1"/>
  <c r="D1513" i="1"/>
  <c r="C1514" i="1"/>
  <c r="D1514" i="1"/>
  <c r="C1515" i="1"/>
  <c r="D1515" i="1"/>
  <c r="C1516" i="1"/>
  <c r="D1516" i="1"/>
  <c r="C1517" i="1"/>
  <c r="D1517" i="1"/>
  <c r="C1518" i="1"/>
  <c r="D1518" i="1"/>
  <c r="C1519" i="1"/>
  <c r="D1519" i="1"/>
  <c r="C1520" i="1"/>
  <c r="D1520" i="1"/>
  <c r="C1521" i="1"/>
  <c r="D1521" i="1"/>
  <c r="C1522" i="1"/>
  <c r="D1522" i="1"/>
  <c r="C1523" i="1"/>
  <c r="D1523" i="1"/>
  <c r="C1524" i="1"/>
  <c r="D1524" i="1"/>
  <c r="C1525" i="1"/>
  <c r="D1525" i="1"/>
  <c r="C1526" i="1"/>
  <c r="D1526" i="1"/>
  <c r="C1527" i="1"/>
  <c r="D1527" i="1"/>
  <c r="C1528" i="1"/>
  <c r="D1528" i="1"/>
  <c r="C1529" i="1"/>
  <c r="D1529" i="1"/>
  <c r="C1530" i="1"/>
  <c r="D1530" i="1"/>
  <c r="C1531" i="1"/>
  <c r="D1531" i="1"/>
  <c r="C1532" i="1"/>
  <c r="D1532" i="1"/>
  <c r="C1533" i="1"/>
  <c r="D1533" i="1"/>
  <c r="C1534" i="1"/>
  <c r="D1534" i="1"/>
  <c r="C1535" i="1"/>
  <c r="D1535" i="1"/>
  <c r="C1536" i="1"/>
  <c r="D1536" i="1"/>
  <c r="C1537" i="1"/>
  <c r="D1537" i="1"/>
  <c r="C1538" i="1"/>
  <c r="D1538" i="1"/>
  <c r="C1539" i="1"/>
  <c r="D1539" i="1"/>
  <c r="C1540" i="1"/>
  <c r="D1540" i="1"/>
  <c r="C1541" i="1"/>
  <c r="D1541" i="1"/>
  <c r="C1542" i="1"/>
  <c r="D1542" i="1"/>
  <c r="C1543" i="1"/>
  <c r="D1543" i="1"/>
  <c r="C1544" i="1"/>
  <c r="D1544" i="1"/>
  <c r="C1545" i="1"/>
  <c r="D1545" i="1"/>
  <c r="C1546" i="1"/>
  <c r="D1546" i="1"/>
  <c r="C1547" i="1"/>
  <c r="D1547" i="1"/>
  <c r="C1548" i="1"/>
  <c r="D1548" i="1"/>
  <c r="C1549" i="1"/>
  <c r="D1549" i="1"/>
  <c r="C1550" i="1"/>
  <c r="D1550" i="1"/>
  <c r="C1551" i="1"/>
  <c r="D1551" i="1"/>
  <c r="C1552" i="1"/>
  <c r="D1552" i="1"/>
  <c r="C1553" i="1"/>
  <c r="D1553" i="1"/>
  <c r="C1554" i="1"/>
  <c r="D1554" i="1"/>
  <c r="C1555" i="1"/>
  <c r="D1555" i="1"/>
  <c r="C1556" i="1"/>
  <c r="D1556" i="1"/>
  <c r="C1557" i="1"/>
  <c r="D1557" i="1"/>
  <c r="C1558" i="1"/>
  <c r="D1558" i="1"/>
  <c r="C1559" i="1"/>
  <c r="D1559" i="1"/>
  <c r="C1560" i="1"/>
  <c r="D1560" i="1"/>
  <c r="C1561" i="1"/>
  <c r="D1561" i="1"/>
  <c r="C1562" i="1"/>
  <c r="D1562" i="1"/>
  <c r="C1563" i="1"/>
  <c r="D1563" i="1"/>
  <c r="C1564" i="1"/>
  <c r="D1564" i="1"/>
  <c r="C1565" i="1"/>
  <c r="D1565" i="1"/>
  <c r="C1566" i="1"/>
  <c r="D1566" i="1"/>
  <c r="C1567" i="1"/>
  <c r="D1567" i="1"/>
  <c r="C1568" i="1"/>
  <c r="D1568" i="1"/>
  <c r="C1569" i="1"/>
  <c r="D1569" i="1"/>
  <c r="C1570" i="1"/>
  <c r="D1570" i="1"/>
  <c r="C1571" i="1"/>
  <c r="D1571" i="1"/>
  <c r="C1572" i="1"/>
  <c r="D1572" i="1"/>
  <c r="C1573" i="1"/>
  <c r="D1573" i="1"/>
  <c r="C1574" i="1"/>
  <c r="D1574" i="1"/>
  <c r="C1575" i="1"/>
  <c r="D1575" i="1"/>
  <c r="C1576" i="1"/>
  <c r="D1576" i="1"/>
  <c r="C1577" i="1"/>
  <c r="D1577" i="1"/>
  <c r="C1578" i="1"/>
  <c r="D1578" i="1"/>
  <c r="C1579" i="1"/>
  <c r="D1579" i="1"/>
  <c r="C1580" i="1"/>
  <c r="D1580" i="1"/>
  <c r="C1581" i="1"/>
  <c r="D1581" i="1"/>
  <c r="C1582" i="1"/>
  <c r="D1582" i="1"/>
  <c r="C1583" i="1"/>
  <c r="D1583" i="1"/>
  <c r="C1584" i="1"/>
  <c r="D1584" i="1"/>
  <c r="C1585" i="1"/>
  <c r="D1585" i="1"/>
  <c r="C1586" i="1"/>
  <c r="D1586" i="1"/>
  <c r="C1587" i="1"/>
  <c r="D1587" i="1"/>
  <c r="C1588" i="1"/>
  <c r="D1588" i="1"/>
  <c r="C1589" i="1"/>
  <c r="D1589" i="1"/>
  <c r="C1590" i="1"/>
  <c r="D1590" i="1"/>
  <c r="C1591" i="1"/>
  <c r="D1591" i="1"/>
  <c r="C1592" i="1"/>
  <c r="D1592" i="1"/>
  <c r="C1593" i="1"/>
  <c r="D1593" i="1"/>
  <c r="C1594" i="1"/>
  <c r="D1594" i="1"/>
  <c r="C1595" i="1"/>
  <c r="D1595" i="1"/>
  <c r="C1596" i="1"/>
  <c r="D1596" i="1"/>
  <c r="C1597" i="1"/>
  <c r="D1597" i="1"/>
  <c r="C1598" i="1"/>
  <c r="D1598" i="1"/>
  <c r="C1599" i="1"/>
  <c r="D1599" i="1"/>
  <c r="C1600" i="1"/>
  <c r="D1600" i="1"/>
  <c r="C1602" i="1"/>
  <c r="D1602" i="1"/>
  <c r="C1603" i="1"/>
  <c r="D1603" i="1"/>
  <c r="C1604" i="1"/>
  <c r="D1604" i="1"/>
  <c r="C1605" i="1"/>
  <c r="D1605" i="1"/>
  <c r="C1606" i="1"/>
  <c r="D1606" i="1"/>
  <c r="C1607" i="1"/>
  <c r="D1607" i="1"/>
  <c r="C1608" i="1"/>
  <c r="D1608" i="1"/>
  <c r="C1609" i="1"/>
  <c r="D1609" i="1"/>
  <c r="C1610" i="1"/>
  <c r="D1610" i="1"/>
  <c r="C1611" i="1"/>
  <c r="D1611" i="1"/>
  <c r="C1612" i="1"/>
  <c r="D1612" i="1"/>
  <c r="C1613" i="1"/>
  <c r="D1613" i="1"/>
  <c r="C1614" i="1"/>
  <c r="D1614" i="1"/>
  <c r="C1615" i="1"/>
  <c r="D1615" i="1"/>
  <c r="C1616" i="1"/>
  <c r="D1616" i="1"/>
  <c r="C1617" i="1"/>
  <c r="D1617" i="1"/>
  <c r="C1618" i="1"/>
  <c r="D1618" i="1"/>
  <c r="C1619" i="1"/>
  <c r="D1619" i="1"/>
  <c r="C1620" i="1"/>
  <c r="D1620" i="1"/>
  <c r="C1621" i="1"/>
  <c r="D1621" i="1"/>
  <c r="C1622" i="1"/>
  <c r="D1622" i="1"/>
  <c r="C1623" i="1"/>
  <c r="D1623" i="1"/>
  <c r="C1624" i="1"/>
  <c r="D1624" i="1"/>
  <c r="C1625" i="1"/>
  <c r="D1625" i="1"/>
  <c r="C1626" i="1"/>
  <c r="D1626" i="1"/>
  <c r="C1627" i="1"/>
  <c r="D1627" i="1"/>
  <c r="C1628" i="1"/>
  <c r="D1628" i="1"/>
  <c r="C1629" i="1"/>
  <c r="D1629" i="1"/>
  <c r="C1630" i="1"/>
  <c r="D1630" i="1"/>
  <c r="C1631" i="1"/>
  <c r="D1631" i="1"/>
  <c r="C1632" i="1"/>
  <c r="D1632" i="1"/>
  <c r="C1633" i="1"/>
  <c r="D1633" i="1"/>
  <c r="C1634" i="1"/>
  <c r="D1634" i="1"/>
  <c r="C1635" i="1"/>
  <c r="D1635" i="1"/>
  <c r="C1636" i="1"/>
  <c r="D1636" i="1"/>
  <c r="C1637" i="1"/>
  <c r="D1637" i="1"/>
  <c r="C1638" i="1"/>
  <c r="D1638" i="1"/>
  <c r="C1639" i="1"/>
  <c r="D1639" i="1"/>
  <c r="C1640" i="1"/>
  <c r="D1640" i="1"/>
  <c r="C1641" i="1"/>
  <c r="D1641" i="1"/>
  <c r="C1642" i="1"/>
  <c r="D1642" i="1"/>
  <c r="C1643" i="1"/>
  <c r="D1643" i="1"/>
  <c r="C1644" i="1"/>
  <c r="D1644" i="1"/>
  <c r="C1645" i="1"/>
  <c r="D1645" i="1"/>
  <c r="C1646" i="1"/>
  <c r="D1646" i="1"/>
  <c r="C1647" i="1"/>
  <c r="D1647" i="1"/>
  <c r="C1648" i="1"/>
  <c r="D1648" i="1"/>
  <c r="C1649" i="1"/>
  <c r="D1649" i="1"/>
  <c r="C1650" i="1"/>
  <c r="D1650" i="1"/>
  <c r="C1651" i="1"/>
  <c r="D1651" i="1"/>
  <c r="C1652" i="1"/>
  <c r="D1652" i="1"/>
  <c r="C1653" i="1"/>
  <c r="D1653" i="1"/>
  <c r="C1654" i="1"/>
  <c r="D1654" i="1"/>
  <c r="C1655" i="1"/>
  <c r="D1655" i="1"/>
  <c r="C1656" i="1"/>
  <c r="D1656" i="1"/>
  <c r="C1657" i="1"/>
  <c r="D1657" i="1"/>
  <c r="C1658" i="1"/>
  <c r="D1658" i="1"/>
  <c r="C1659" i="1"/>
  <c r="D1659" i="1"/>
  <c r="C1660" i="1"/>
  <c r="D1660" i="1"/>
  <c r="C1661" i="1"/>
  <c r="D1661" i="1"/>
  <c r="C1662" i="1"/>
  <c r="D1662" i="1"/>
  <c r="C1663" i="1"/>
  <c r="D1663" i="1"/>
  <c r="C1664" i="1"/>
  <c r="D1664" i="1"/>
  <c r="C1665" i="1"/>
  <c r="D1665" i="1"/>
  <c r="C1666" i="1"/>
  <c r="D1666" i="1"/>
  <c r="C1667" i="1"/>
  <c r="D1667" i="1"/>
  <c r="C1668" i="1"/>
  <c r="D1668" i="1"/>
  <c r="C1669" i="1"/>
  <c r="D1669" i="1"/>
  <c r="C1670" i="1"/>
  <c r="D1670" i="1"/>
  <c r="C1671" i="1"/>
  <c r="D1671" i="1"/>
  <c r="C1672" i="1"/>
  <c r="D1672" i="1"/>
  <c r="C1673" i="1"/>
  <c r="D1673" i="1"/>
  <c r="C1674" i="1"/>
  <c r="D1674" i="1"/>
  <c r="C1675" i="1"/>
  <c r="D1675" i="1"/>
  <c r="C1676" i="1"/>
  <c r="D1676" i="1"/>
  <c r="C1677" i="1"/>
  <c r="D1677" i="1"/>
  <c r="C1678" i="1"/>
  <c r="D1678" i="1"/>
  <c r="C1679" i="1"/>
  <c r="D1679" i="1"/>
  <c r="C1680" i="1"/>
  <c r="D1680" i="1"/>
  <c r="C1681" i="1"/>
  <c r="D1681" i="1"/>
  <c r="C1682" i="1"/>
  <c r="D1682" i="1"/>
  <c r="C1683" i="1"/>
  <c r="D1683" i="1"/>
  <c r="C1684" i="1"/>
  <c r="D1684" i="1"/>
  <c r="C1685" i="1"/>
  <c r="D1685" i="1"/>
  <c r="C1686" i="1"/>
  <c r="D1686" i="1"/>
  <c r="C1687" i="1"/>
  <c r="D1687" i="1"/>
  <c r="C1688" i="1"/>
  <c r="D1688" i="1"/>
  <c r="C1689" i="1"/>
  <c r="D1689" i="1"/>
  <c r="C1690" i="1"/>
  <c r="D1690" i="1"/>
  <c r="C1691" i="1"/>
  <c r="D1691" i="1"/>
  <c r="C1692" i="1"/>
  <c r="D1692" i="1"/>
  <c r="C1693" i="1"/>
  <c r="D1693" i="1"/>
  <c r="C1694" i="1"/>
  <c r="D1694" i="1"/>
  <c r="C1695" i="1"/>
  <c r="D1695" i="1"/>
  <c r="C1696" i="1"/>
  <c r="D1696" i="1"/>
  <c r="C1697" i="1"/>
  <c r="D1697" i="1"/>
  <c r="C1698" i="1"/>
  <c r="D1698" i="1"/>
  <c r="C1699" i="1"/>
  <c r="D1699" i="1"/>
  <c r="C1700" i="1"/>
  <c r="D1700" i="1"/>
  <c r="C1701" i="1"/>
  <c r="D1701" i="1"/>
  <c r="C1702" i="1"/>
  <c r="D1702" i="1"/>
  <c r="C1703" i="1"/>
  <c r="D1703" i="1"/>
  <c r="C1704" i="1"/>
  <c r="D1704" i="1"/>
  <c r="C1705" i="1"/>
  <c r="D1705" i="1"/>
  <c r="C1706" i="1"/>
  <c r="D1706" i="1"/>
  <c r="C1707" i="1"/>
  <c r="D1707" i="1"/>
  <c r="C1708" i="1"/>
  <c r="D1708" i="1"/>
  <c r="C1709" i="1"/>
  <c r="D1709" i="1"/>
  <c r="C1710" i="1"/>
  <c r="D1710" i="1"/>
  <c r="C1711" i="1"/>
  <c r="D1711" i="1"/>
  <c r="C1712" i="1"/>
  <c r="D1712" i="1"/>
  <c r="C1713" i="1"/>
  <c r="D1713" i="1"/>
  <c r="C1714" i="1"/>
  <c r="D1714" i="1"/>
  <c r="C1715" i="1"/>
  <c r="D1715" i="1"/>
  <c r="C1716" i="1"/>
  <c r="D1716" i="1"/>
  <c r="C1717" i="1"/>
  <c r="D1717" i="1"/>
  <c r="C1718" i="1"/>
  <c r="D1718" i="1"/>
  <c r="C1719" i="1"/>
  <c r="D1719" i="1"/>
  <c r="C1720" i="1"/>
  <c r="D1720" i="1"/>
  <c r="C1721" i="1"/>
  <c r="D1721" i="1"/>
  <c r="C1722" i="1"/>
  <c r="D1722" i="1"/>
  <c r="C1723" i="1"/>
  <c r="D1723" i="1"/>
  <c r="C1724" i="1"/>
  <c r="D1724" i="1"/>
  <c r="C1725" i="1"/>
  <c r="D1725" i="1"/>
  <c r="C1726" i="1"/>
  <c r="D1726" i="1"/>
  <c r="C1727" i="1"/>
  <c r="D1727" i="1"/>
  <c r="C1728" i="1"/>
  <c r="D1728" i="1"/>
  <c r="C1729" i="1"/>
  <c r="D1729" i="1"/>
  <c r="C1730" i="1"/>
  <c r="D1730" i="1"/>
  <c r="C1731" i="1"/>
  <c r="D1731" i="1"/>
  <c r="C1732" i="1"/>
  <c r="D1732" i="1"/>
  <c r="C1733" i="1"/>
  <c r="D1733" i="1"/>
  <c r="C1734" i="1"/>
  <c r="D1734" i="1"/>
  <c r="C1735" i="1"/>
  <c r="D1735" i="1"/>
  <c r="C1736" i="1"/>
  <c r="D1736" i="1"/>
  <c r="C1737" i="1"/>
  <c r="D1737" i="1"/>
  <c r="C1738" i="1"/>
  <c r="D1738" i="1"/>
  <c r="C1739" i="1"/>
  <c r="D1739" i="1"/>
  <c r="C1740" i="1"/>
  <c r="D1740" i="1"/>
  <c r="C1741" i="1"/>
  <c r="D1741" i="1"/>
  <c r="C1742" i="1"/>
  <c r="D1742" i="1"/>
  <c r="C1743" i="1"/>
  <c r="D1743" i="1"/>
  <c r="C1744" i="1"/>
  <c r="D1744" i="1"/>
  <c r="C1745" i="1"/>
  <c r="D1745" i="1"/>
  <c r="C1746" i="1"/>
  <c r="D1746" i="1"/>
  <c r="C1747" i="1"/>
  <c r="D1747" i="1"/>
  <c r="C1748" i="1"/>
  <c r="D1748" i="1"/>
  <c r="C1749" i="1"/>
  <c r="D1749" i="1"/>
  <c r="C1750" i="1"/>
  <c r="D1750" i="1"/>
  <c r="C1751" i="1"/>
  <c r="D1751" i="1"/>
  <c r="C1752" i="1"/>
  <c r="D1752" i="1"/>
  <c r="C1753" i="1"/>
  <c r="D1753" i="1"/>
  <c r="C1754" i="1"/>
  <c r="D1754" i="1"/>
  <c r="C1755" i="1"/>
  <c r="D1755" i="1"/>
  <c r="C1756" i="1"/>
  <c r="D1756" i="1"/>
  <c r="C1757" i="1"/>
  <c r="D1757" i="1"/>
  <c r="C1758" i="1"/>
  <c r="D1758" i="1"/>
  <c r="C1759" i="1"/>
  <c r="D1759" i="1"/>
  <c r="C1760" i="1"/>
  <c r="D1760" i="1"/>
  <c r="C1761" i="1"/>
  <c r="D1761" i="1"/>
  <c r="C1762" i="1"/>
  <c r="D1762" i="1"/>
  <c r="C1763" i="1"/>
  <c r="D1763" i="1"/>
  <c r="C1764" i="1"/>
  <c r="D1764" i="1"/>
  <c r="C1765" i="1"/>
  <c r="D1765" i="1"/>
  <c r="C1766" i="1"/>
  <c r="D1766" i="1"/>
  <c r="C1767" i="1"/>
  <c r="D1767" i="1"/>
  <c r="C1768" i="1"/>
  <c r="D1768" i="1"/>
  <c r="C1769" i="1"/>
  <c r="D1769" i="1"/>
  <c r="C1770" i="1"/>
  <c r="D1770" i="1"/>
  <c r="C1771" i="1"/>
  <c r="D1771" i="1"/>
  <c r="C1772" i="1"/>
  <c r="D1772" i="1"/>
  <c r="C1773" i="1"/>
  <c r="D1773" i="1"/>
  <c r="C1774" i="1"/>
  <c r="D1774" i="1"/>
  <c r="C1775" i="1"/>
  <c r="D1775" i="1"/>
  <c r="C1776" i="1"/>
  <c r="D1776" i="1"/>
  <c r="C1777" i="1"/>
  <c r="D1777" i="1"/>
  <c r="C1778" i="1"/>
  <c r="D1778" i="1"/>
  <c r="C1779" i="1"/>
  <c r="D1779" i="1"/>
  <c r="C1780" i="1"/>
  <c r="D1780" i="1"/>
  <c r="C1781" i="1"/>
  <c r="D1781" i="1"/>
  <c r="C1782" i="1"/>
  <c r="D1782" i="1"/>
  <c r="C1783" i="1"/>
  <c r="D1783" i="1"/>
  <c r="C1784" i="1"/>
  <c r="D1784" i="1"/>
  <c r="C1785" i="1"/>
  <c r="D1785" i="1"/>
  <c r="C1786" i="1"/>
  <c r="D1786" i="1"/>
  <c r="C1787" i="1"/>
  <c r="D1787" i="1"/>
  <c r="C1788" i="1"/>
  <c r="D1788" i="1"/>
  <c r="C1789" i="1"/>
  <c r="D1789" i="1"/>
  <c r="C1790" i="1"/>
  <c r="D1790" i="1"/>
  <c r="C1791" i="1"/>
  <c r="D1791" i="1"/>
  <c r="C1792" i="1"/>
  <c r="D1792" i="1"/>
  <c r="C1793" i="1"/>
  <c r="D1793" i="1"/>
  <c r="C1794" i="1"/>
  <c r="D1794" i="1"/>
  <c r="C1795" i="1"/>
  <c r="D1795" i="1"/>
  <c r="C1796" i="1"/>
  <c r="D1796" i="1"/>
  <c r="C1797" i="1"/>
  <c r="D1797" i="1"/>
  <c r="C1798" i="1"/>
  <c r="D1798" i="1"/>
  <c r="C1799" i="1"/>
  <c r="D1799" i="1"/>
  <c r="C1800" i="1"/>
  <c r="D1800" i="1"/>
  <c r="C1801" i="1"/>
  <c r="D1801" i="1"/>
  <c r="C1802" i="1"/>
  <c r="D1802" i="1"/>
  <c r="C1803" i="1"/>
  <c r="D1803" i="1"/>
  <c r="C1804" i="1"/>
  <c r="D1804" i="1"/>
  <c r="C1805" i="1"/>
  <c r="D1805" i="1"/>
  <c r="C1806" i="1"/>
  <c r="D1806" i="1"/>
  <c r="C1807" i="1"/>
  <c r="D1807" i="1"/>
  <c r="C1808" i="1"/>
  <c r="D1808" i="1"/>
  <c r="C1809" i="1"/>
  <c r="D1809" i="1"/>
  <c r="C1810" i="1"/>
  <c r="D1810" i="1"/>
  <c r="C1811" i="1"/>
  <c r="D1811" i="1"/>
  <c r="C1812" i="1"/>
  <c r="D1812" i="1"/>
  <c r="C1813" i="1"/>
  <c r="D1813" i="1"/>
  <c r="C1814" i="1"/>
  <c r="D1814" i="1"/>
  <c r="C1815" i="1"/>
  <c r="D1815" i="1"/>
  <c r="C1816" i="1"/>
  <c r="D1816" i="1"/>
  <c r="C1817" i="1"/>
  <c r="D1817" i="1"/>
  <c r="C1818" i="1"/>
  <c r="D1818" i="1"/>
  <c r="C1819" i="1"/>
  <c r="D1819" i="1"/>
  <c r="C1820" i="1"/>
  <c r="D1820" i="1"/>
  <c r="C1821" i="1"/>
  <c r="D1821" i="1"/>
  <c r="C1822" i="1"/>
  <c r="D1822" i="1"/>
  <c r="C1823" i="1"/>
  <c r="D1823" i="1"/>
  <c r="C1824" i="1"/>
  <c r="D1824" i="1"/>
  <c r="C1825" i="1"/>
  <c r="D1825" i="1"/>
  <c r="C1826" i="1"/>
  <c r="D1826" i="1"/>
  <c r="C1827" i="1"/>
  <c r="D1827" i="1"/>
  <c r="C1828" i="1"/>
  <c r="D1828" i="1"/>
  <c r="C1829" i="1"/>
  <c r="D1829" i="1"/>
  <c r="C1830" i="1"/>
  <c r="D1830" i="1"/>
  <c r="C1831" i="1"/>
  <c r="D1831" i="1"/>
  <c r="C1832" i="1"/>
  <c r="D1832" i="1"/>
  <c r="C1833" i="1"/>
  <c r="D1833" i="1"/>
  <c r="C1834" i="1"/>
  <c r="D1834" i="1"/>
  <c r="C1835" i="1"/>
  <c r="D1835" i="1"/>
  <c r="C1836" i="1"/>
  <c r="D1836" i="1"/>
  <c r="C1837" i="1"/>
  <c r="D1837" i="1"/>
  <c r="C1838" i="1"/>
  <c r="D1838" i="1"/>
  <c r="C1839" i="1"/>
  <c r="D1839" i="1"/>
  <c r="C1840" i="1"/>
  <c r="D1840" i="1"/>
  <c r="C1841" i="1"/>
  <c r="D1841" i="1"/>
  <c r="C1842" i="1"/>
  <c r="D1842" i="1"/>
  <c r="C1843" i="1"/>
  <c r="D1843" i="1"/>
  <c r="C1844" i="1"/>
  <c r="D1844" i="1"/>
  <c r="C1845" i="1"/>
  <c r="D1845" i="1"/>
  <c r="C1846" i="1"/>
  <c r="D1846" i="1"/>
  <c r="C1847" i="1"/>
  <c r="D1847" i="1"/>
  <c r="C1848" i="1"/>
  <c r="D1848" i="1"/>
  <c r="C1849" i="1"/>
  <c r="D1849" i="1"/>
  <c r="C1850" i="1"/>
  <c r="D1850" i="1"/>
  <c r="C1851" i="1"/>
  <c r="D1851" i="1"/>
  <c r="C1852" i="1"/>
  <c r="D1852" i="1"/>
  <c r="C1853" i="1"/>
  <c r="D1853" i="1"/>
  <c r="C1854" i="1"/>
  <c r="D1854" i="1"/>
  <c r="C1855" i="1"/>
  <c r="D1855" i="1"/>
  <c r="C1856" i="1"/>
  <c r="D1856" i="1"/>
  <c r="C1857" i="1"/>
  <c r="D1857" i="1"/>
  <c r="C1858" i="1"/>
  <c r="D1858" i="1"/>
  <c r="C1859" i="1"/>
  <c r="D1859" i="1"/>
  <c r="C1860" i="1"/>
  <c r="D1860" i="1"/>
  <c r="C1861" i="1"/>
  <c r="D1861" i="1"/>
  <c r="C1862" i="1"/>
  <c r="D1862" i="1"/>
  <c r="C1863" i="1"/>
  <c r="D1863" i="1"/>
  <c r="C1864" i="1"/>
  <c r="D1864" i="1"/>
  <c r="C1865" i="1"/>
  <c r="D1865" i="1"/>
  <c r="C1866" i="1"/>
  <c r="D1866" i="1"/>
  <c r="C1867" i="1"/>
  <c r="D1867" i="1"/>
  <c r="C1868" i="1"/>
  <c r="D1868" i="1"/>
  <c r="C1869" i="1"/>
  <c r="D1869" i="1"/>
  <c r="C1870" i="1"/>
  <c r="D1870" i="1"/>
  <c r="C1871" i="1"/>
  <c r="D1871" i="1"/>
  <c r="C1872" i="1"/>
  <c r="D1872" i="1"/>
  <c r="C1873" i="1"/>
  <c r="D1873" i="1"/>
  <c r="C1874" i="1"/>
  <c r="D1874" i="1"/>
  <c r="C1875" i="1"/>
  <c r="D1875" i="1"/>
  <c r="C1876" i="1"/>
  <c r="D1876" i="1"/>
  <c r="C1877" i="1"/>
  <c r="D1877" i="1"/>
  <c r="C1878" i="1"/>
  <c r="D1878" i="1"/>
  <c r="C1879" i="1"/>
  <c r="D1879" i="1"/>
  <c r="C1880" i="1"/>
  <c r="D1880" i="1"/>
  <c r="C1881" i="1"/>
  <c r="D1881" i="1"/>
  <c r="C1882" i="1"/>
  <c r="D1882" i="1"/>
  <c r="C1883" i="1"/>
  <c r="D1883" i="1"/>
  <c r="C1884" i="1"/>
  <c r="D1884" i="1"/>
  <c r="C1885" i="1"/>
  <c r="D1885" i="1"/>
  <c r="C1886" i="1"/>
  <c r="D1886" i="1"/>
  <c r="C1887" i="1"/>
  <c r="D1887" i="1"/>
  <c r="C1888" i="1"/>
  <c r="D1888" i="1"/>
  <c r="C1889" i="1"/>
  <c r="D1889" i="1"/>
  <c r="C1890" i="1"/>
  <c r="D1890" i="1"/>
  <c r="C1891" i="1"/>
  <c r="D1891" i="1"/>
  <c r="C1892" i="1"/>
  <c r="D1892" i="1"/>
  <c r="C1893" i="1"/>
  <c r="D1893" i="1"/>
  <c r="C1894" i="1"/>
  <c r="D1894" i="1"/>
  <c r="C1895" i="1"/>
  <c r="D1895" i="1"/>
  <c r="C1896" i="1"/>
  <c r="D1896" i="1"/>
  <c r="C1897" i="1"/>
  <c r="D1897" i="1"/>
  <c r="C1898" i="1"/>
  <c r="D1898" i="1"/>
  <c r="C1899" i="1"/>
  <c r="D1899" i="1"/>
  <c r="C1900" i="1"/>
  <c r="D1900" i="1"/>
  <c r="C1901" i="1"/>
  <c r="D1901" i="1"/>
  <c r="C1902" i="1"/>
  <c r="D1902" i="1"/>
  <c r="C1903" i="1"/>
  <c r="D1903" i="1"/>
  <c r="C1904" i="1"/>
  <c r="D1904" i="1"/>
  <c r="C1905" i="1"/>
  <c r="D1905" i="1"/>
  <c r="C1906" i="1"/>
  <c r="D1906" i="1"/>
  <c r="C1907" i="1"/>
  <c r="D1907" i="1"/>
  <c r="C1908" i="1"/>
  <c r="D1908" i="1"/>
  <c r="C1909" i="1"/>
  <c r="D1909" i="1"/>
  <c r="C1910" i="1"/>
  <c r="D1910" i="1"/>
  <c r="C1911" i="1"/>
  <c r="D1911" i="1"/>
  <c r="C1912" i="1"/>
  <c r="D1912" i="1"/>
  <c r="C1913" i="1"/>
  <c r="D1913" i="1"/>
  <c r="C1914" i="1"/>
  <c r="D1914" i="1"/>
  <c r="C1915" i="1"/>
  <c r="D1915" i="1"/>
  <c r="C1916" i="1"/>
  <c r="D1916" i="1"/>
  <c r="C1917" i="1"/>
  <c r="D1917" i="1"/>
  <c r="C1918" i="1"/>
  <c r="D1918" i="1"/>
  <c r="C1919" i="1"/>
  <c r="D1919" i="1"/>
  <c r="C1920" i="1"/>
  <c r="D1920" i="1"/>
  <c r="C1921" i="1"/>
  <c r="D1921" i="1"/>
  <c r="C1922" i="1"/>
  <c r="D1922" i="1"/>
  <c r="C1923" i="1"/>
  <c r="D1923" i="1"/>
  <c r="C1924" i="1"/>
  <c r="D1924" i="1"/>
  <c r="C1925" i="1"/>
  <c r="D1925" i="1"/>
  <c r="C1926" i="1"/>
  <c r="D1926" i="1"/>
  <c r="C1927" i="1"/>
  <c r="D1927" i="1"/>
  <c r="C1928" i="1"/>
  <c r="D1928" i="1"/>
  <c r="C1929" i="1"/>
  <c r="D1929" i="1"/>
  <c r="C1930" i="1"/>
  <c r="D1930" i="1"/>
  <c r="C1931" i="1"/>
  <c r="D1931" i="1"/>
  <c r="C1932" i="1"/>
  <c r="D1932" i="1"/>
  <c r="C1933" i="1"/>
  <c r="D1933" i="1"/>
  <c r="C1934" i="1"/>
  <c r="D1934" i="1"/>
  <c r="C1935" i="1"/>
  <c r="D1935" i="1"/>
  <c r="C1936" i="1"/>
  <c r="D1936" i="1"/>
  <c r="C1937" i="1"/>
  <c r="D1937" i="1"/>
  <c r="C1938" i="1"/>
  <c r="D1938" i="1"/>
  <c r="C1939" i="1"/>
  <c r="D1939" i="1"/>
  <c r="C1940" i="1"/>
  <c r="D1940" i="1"/>
  <c r="C1941" i="1"/>
  <c r="D1941" i="1"/>
  <c r="C1942" i="1"/>
  <c r="D1942" i="1"/>
  <c r="C1943" i="1"/>
  <c r="D1943" i="1"/>
  <c r="C1944" i="1"/>
  <c r="D1944" i="1"/>
  <c r="C1945" i="1"/>
  <c r="D1945" i="1"/>
  <c r="C1946" i="1"/>
  <c r="D1946" i="1"/>
  <c r="C1947" i="1"/>
  <c r="D1947" i="1"/>
  <c r="C1948" i="1"/>
  <c r="D1948" i="1"/>
  <c r="C1949" i="1"/>
  <c r="D1949" i="1"/>
  <c r="C1950" i="1"/>
  <c r="D1950" i="1"/>
  <c r="C1951" i="1"/>
  <c r="D1951" i="1"/>
  <c r="C1952" i="1"/>
  <c r="D1952" i="1"/>
  <c r="C1953" i="1"/>
  <c r="D1953" i="1"/>
  <c r="C1954" i="1"/>
  <c r="D1954" i="1"/>
  <c r="C1955" i="1"/>
  <c r="D1955" i="1"/>
  <c r="C1956" i="1"/>
  <c r="D1956" i="1"/>
  <c r="C1957" i="1"/>
  <c r="D1957" i="1"/>
  <c r="C1958" i="1"/>
  <c r="D1958" i="1"/>
  <c r="C1959" i="1"/>
  <c r="D1959" i="1"/>
  <c r="C1960" i="1"/>
  <c r="D1960" i="1"/>
  <c r="C1961" i="1"/>
  <c r="D1961" i="1"/>
  <c r="C1962" i="1"/>
  <c r="D1962" i="1"/>
  <c r="C1963" i="1"/>
  <c r="D1963" i="1"/>
  <c r="C1964" i="1"/>
  <c r="D1964" i="1"/>
  <c r="C1965" i="1"/>
  <c r="D1965" i="1"/>
  <c r="C1966" i="1"/>
  <c r="D1966" i="1"/>
  <c r="C1967" i="1"/>
  <c r="D1967" i="1"/>
  <c r="C1968" i="1"/>
  <c r="D1968" i="1"/>
  <c r="C1969" i="1"/>
  <c r="D1969" i="1"/>
  <c r="C1970" i="1"/>
  <c r="D1970" i="1"/>
  <c r="C1971" i="1"/>
  <c r="D1971" i="1"/>
  <c r="C1972" i="1"/>
  <c r="D1972" i="1"/>
  <c r="C1973" i="1"/>
  <c r="D1973" i="1"/>
  <c r="C1974" i="1"/>
  <c r="D1974" i="1"/>
  <c r="C1975" i="1"/>
  <c r="D1975" i="1"/>
  <c r="C1976" i="1"/>
  <c r="D1976" i="1"/>
  <c r="C1977" i="1"/>
  <c r="D1977" i="1"/>
  <c r="C1978" i="1"/>
  <c r="D1978" i="1"/>
  <c r="C1979" i="1"/>
  <c r="D1979" i="1"/>
  <c r="C1980" i="1"/>
  <c r="D1980" i="1"/>
  <c r="C1981" i="1"/>
  <c r="D1981" i="1"/>
  <c r="C1982" i="1"/>
  <c r="D1982" i="1"/>
  <c r="C1983" i="1"/>
  <c r="D1983" i="1"/>
  <c r="C1984" i="1"/>
  <c r="D1984" i="1"/>
  <c r="C1985" i="1"/>
  <c r="D1985" i="1"/>
  <c r="C1986" i="1"/>
  <c r="D1986" i="1"/>
  <c r="C1987" i="1"/>
  <c r="D1987" i="1"/>
  <c r="C1988" i="1"/>
  <c r="D1988" i="1"/>
  <c r="C1989" i="1"/>
  <c r="D1989" i="1"/>
  <c r="C1990" i="1"/>
  <c r="D1990" i="1"/>
  <c r="C1991" i="1"/>
  <c r="D1991" i="1"/>
  <c r="C1992" i="1"/>
  <c r="D1992" i="1"/>
  <c r="C1993" i="1"/>
  <c r="D1993" i="1"/>
  <c r="C1994" i="1"/>
  <c r="D1994" i="1"/>
  <c r="C1995" i="1"/>
  <c r="D1995" i="1"/>
  <c r="C1996" i="1"/>
  <c r="D1996" i="1"/>
  <c r="C1997" i="1"/>
  <c r="D1997" i="1"/>
  <c r="C1998" i="1"/>
  <c r="D1998" i="1"/>
  <c r="C1999" i="1"/>
  <c r="D1999" i="1"/>
  <c r="C2000" i="1"/>
  <c r="D2000" i="1"/>
  <c r="C2001" i="1"/>
  <c r="D2001" i="1"/>
  <c r="C2002" i="1"/>
  <c r="D2002" i="1"/>
  <c r="C2003" i="1"/>
  <c r="D2003" i="1"/>
  <c r="C2004" i="1"/>
  <c r="D2004" i="1"/>
  <c r="C2005" i="1"/>
  <c r="D2005" i="1"/>
  <c r="C2006" i="1"/>
  <c r="D2006" i="1"/>
  <c r="C2007" i="1"/>
  <c r="D2007" i="1"/>
  <c r="C2008" i="1"/>
  <c r="D2008" i="1"/>
  <c r="C2009" i="1"/>
  <c r="D2009" i="1"/>
  <c r="C2010" i="1"/>
  <c r="D2010" i="1"/>
  <c r="C2011" i="1"/>
  <c r="D2011" i="1"/>
  <c r="C2012" i="1"/>
  <c r="D2012" i="1"/>
  <c r="C2013" i="1"/>
  <c r="D2013" i="1"/>
  <c r="C2014" i="1"/>
  <c r="D2014" i="1"/>
  <c r="C2015" i="1"/>
  <c r="D2015" i="1"/>
  <c r="C2016" i="1"/>
  <c r="D2016" i="1"/>
  <c r="C2017" i="1"/>
  <c r="D2017" i="1"/>
  <c r="C2018" i="1"/>
  <c r="D2018" i="1"/>
  <c r="C2019" i="1"/>
  <c r="D2019" i="1"/>
  <c r="C2020" i="1"/>
  <c r="D2020" i="1"/>
  <c r="C2021" i="1"/>
  <c r="D2021" i="1"/>
  <c r="C2022" i="1"/>
  <c r="D2022" i="1"/>
  <c r="C2023" i="1"/>
  <c r="D2023" i="1"/>
  <c r="C2024" i="1"/>
  <c r="D2024" i="1"/>
  <c r="C2025" i="1"/>
  <c r="D2025" i="1"/>
  <c r="C2026" i="1"/>
  <c r="D2026" i="1"/>
  <c r="C2027" i="1"/>
  <c r="D2027" i="1"/>
  <c r="C2028" i="1"/>
  <c r="D2028" i="1"/>
  <c r="C2029" i="1"/>
  <c r="D2029" i="1"/>
  <c r="C2030" i="1"/>
  <c r="D2030" i="1"/>
  <c r="C2031" i="1"/>
  <c r="D2031" i="1"/>
  <c r="C2032" i="1"/>
  <c r="D2032" i="1"/>
  <c r="C2033" i="1"/>
  <c r="D2033" i="1"/>
  <c r="C2034" i="1"/>
  <c r="D2034" i="1"/>
  <c r="C2035" i="1"/>
  <c r="D2035" i="1"/>
  <c r="C2036" i="1"/>
  <c r="D2036" i="1"/>
  <c r="C2037" i="1"/>
  <c r="D2037" i="1"/>
  <c r="C2038" i="1"/>
  <c r="D2038" i="1"/>
  <c r="C2039" i="1"/>
  <c r="D2039" i="1"/>
  <c r="C2040" i="1"/>
  <c r="D2040" i="1"/>
  <c r="C2041" i="1"/>
  <c r="D2041" i="1"/>
  <c r="C2042" i="1"/>
  <c r="D2042" i="1"/>
  <c r="C2043" i="1"/>
  <c r="D2043" i="1"/>
  <c r="C2044" i="1"/>
  <c r="D2044" i="1"/>
  <c r="C2045" i="1"/>
  <c r="D2045" i="1"/>
  <c r="C2046" i="1"/>
  <c r="D2046" i="1"/>
  <c r="C2047" i="1"/>
  <c r="D2047" i="1"/>
  <c r="C2048" i="1"/>
  <c r="D2048" i="1"/>
  <c r="C2049" i="1"/>
  <c r="D2049" i="1"/>
  <c r="C2050" i="1"/>
  <c r="D2050" i="1"/>
  <c r="C2051" i="1"/>
  <c r="D2051" i="1"/>
  <c r="C2052" i="1"/>
  <c r="D2052" i="1"/>
  <c r="C2053" i="1"/>
  <c r="D2053" i="1"/>
  <c r="C2054" i="1"/>
  <c r="D2054" i="1"/>
  <c r="C2055" i="1"/>
  <c r="D2055" i="1"/>
  <c r="C2056" i="1"/>
  <c r="D2056" i="1"/>
  <c r="C2057" i="1"/>
  <c r="D2057" i="1"/>
  <c r="C2058" i="1"/>
  <c r="D2058" i="1"/>
  <c r="C2059" i="1"/>
  <c r="D2059" i="1"/>
  <c r="C2060" i="1"/>
  <c r="D2060" i="1"/>
  <c r="C2061" i="1"/>
  <c r="D2061" i="1"/>
  <c r="C2062" i="1"/>
  <c r="D2062" i="1"/>
  <c r="C2063" i="1"/>
  <c r="D2063" i="1"/>
  <c r="C2064" i="1"/>
  <c r="D2064" i="1"/>
  <c r="C2065" i="1"/>
  <c r="D2065" i="1"/>
  <c r="C2066" i="1"/>
  <c r="D2066" i="1"/>
  <c r="C2067" i="1"/>
  <c r="D2067" i="1"/>
  <c r="C2068" i="1"/>
  <c r="D2068" i="1"/>
  <c r="C2069" i="1"/>
  <c r="D2069" i="1"/>
  <c r="C2070" i="1"/>
  <c r="D2070" i="1"/>
  <c r="C2071" i="1"/>
  <c r="D2071" i="1"/>
  <c r="C2072" i="1"/>
  <c r="D2072" i="1"/>
  <c r="C2073" i="1"/>
  <c r="D2073" i="1"/>
  <c r="C2074" i="1"/>
  <c r="D2074" i="1"/>
  <c r="C2075" i="1"/>
  <c r="D2075" i="1"/>
  <c r="C2076" i="1"/>
  <c r="D2076" i="1"/>
  <c r="C2077" i="1"/>
  <c r="D2077" i="1"/>
  <c r="C2078" i="1"/>
  <c r="D2078" i="1"/>
  <c r="C2079" i="1"/>
  <c r="D2079" i="1"/>
  <c r="C2080" i="1"/>
  <c r="D2080" i="1"/>
  <c r="C2081" i="1"/>
  <c r="D2081" i="1"/>
  <c r="C2082" i="1"/>
  <c r="D2082" i="1"/>
  <c r="C2083" i="1"/>
  <c r="D2083" i="1"/>
  <c r="C2084" i="1"/>
  <c r="D2084" i="1"/>
  <c r="C2085" i="1"/>
  <c r="D2085" i="1"/>
  <c r="C2086" i="1"/>
  <c r="D2086" i="1"/>
  <c r="C2087" i="1"/>
  <c r="D2087" i="1"/>
  <c r="C2088" i="1"/>
  <c r="D2088" i="1"/>
  <c r="C2089" i="1"/>
  <c r="D2089" i="1"/>
  <c r="C2090" i="1"/>
  <c r="D2090" i="1"/>
  <c r="C2091" i="1"/>
  <c r="D2091" i="1"/>
  <c r="C2092" i="1"/>
  <c r="D2092" i="1"/>
  <c r="C2093" i="1"/>
  <c r="D2093" i="1"/>
  <c r="C2094" i="1"/>
  <c r="D2094" i="1"/>
  <c r="C2095" i="1"/>
  <c r="D2095" i="1"/>
  <c r="C2096" i="1"/>
  <c r="D2096" i="1"/>
  <c r="C2097" i="1"/>
  <c r="D2097" i="1"/>
  <c r="C2098" i="1"/>
  <c r="D2098" i="1"/>
  <c r="C2099" i="1"/>
  <c r="D2099" i="1"/>
  <c r="C2100" i="1"/>
  <c r="D2100" i="1"/>
  <c r="C2101" i="1"/>
  <c r="D2101" i="1"/>
  <c r="C2102" i="1"/>
  <c r="D2102" i="1"/>
  <c r="C2103" i="1"/>
  <c r="D2103" i="1"/>
  <c r="C2104" i="1"/>
  <c r="D2104" i="1"/>
  <c r="C2105" i="1"/>
  <c r="D2105" i="1"/>
  <c r="C2106" i="1"/>
  <c r="D2106" i="1"/>
  <c r="C2107" i="1"/>
  <c r="D2107" i="1"/>
  <c r="C2108" i="1"/>
  <c r="D2108" i="1"/>
  <c r="C2109" i="1"/>
  <c r="D2109" i="1"/>
  <c r="C2110" i="1"/>
  <c r="D2110" i="1"/>
  <c r="C2111" i="1"/>
  <c r="D2111" i="1"/>
  <c r="C2112" i="1"/>
  <c r="D2112" i="1"/>
  <c r="C2113" i="1"/>
  <c r="D2113" i="1"/>
  <c r="C2114" i="1"/>
  <c r="D2114" i="1"/>
  <c r="C2115" i="1"/>
  <c r="D2115" i="1"/>
  <c r="C2116" i="1"/>
  <c r="D2116" i="1"/>
  <c r="C2117" i="1"/>
  <c r="D2117" i="1"/>
  <c r="C2118" i="1"/>
  <c r="D2118" i="1"/>
  <c r="C2119" i="1"/>
  <c r="D2119" i="1"/>
  <c r="C2120" i="1"/>
  <c r="D2120" i="1"/>
  <c r="C2121" i="1"/>
  <c r="D2121" i="1"/>
  <c r="C2122" i="1"/>
  <c r="D2122" i="1"/>
  <c r="C2123" i="1"/>
  <c r="D2123" i="1"/>
  <c r="C2124" i="1"/>
  <c r="D2124" i="1"/>
  <c r="C2125" i="1"/>
  <c r="D2125" i="1"/>
  <c r="C2126" i="1"/>
  <c r="D2126" i="1"/>
  <c r="C2127" i="1"/>
  <c r="D2127" i="1"/>
  <c r="C2128" i="1"/>
  <c r="D2128" i="1"/>
  <c r="C2129" i="1"/>
  <c r="D2129" i="1"/>
  <c r="C2130" i="1"/>
  <c r="D2130" i="1"/>
  <c r="C2131" i="1"/>
  <c r="D2131" i="1"/>
  <c r="C2132" i="1"/>
  <c r="D2132" i="1"/>
  <c r="C2133" i="1"/>
  <c r="D2133" i="1"/>
  <c r="C2134" i="1"/>
  <c r="D2134" i="1"/>
  <c r="C2135" i="1"/>
  <c r="D2135" i="1"/>
  <c r="C2136" i="1"/>
  <c r="D2136" i="1"/>
  <c r="C2137" i="1"/>
  <c r="D2137" i="1"/>
  <c r="C2138" i="1"/>
  <c r="D2138" i="1"/>
  <c r="C2139" i="1"/>
  <c r="D2139" i="1"/>
  <c r="C2140" i="1"/>
  <c r="D2140" i="1"/>
  <c r="C2141" i="1"/>
  <c r="D2141" i="1"/>
  <c r="C2142" i="1"/>
  <c r="D2142" i="1"/>
  <c r="C2143" i="1"/>
  <c r="D2143" i="1"/>
  <c r="C2144" i="1"/>
  <c r="D2144" i="1"/>
  <c r="C2145" i="1"/>
  <c r="D2145" i="1"/>
  <c r="C2146" i="1"/>
  <c r="D2146" i="1"/>
  <c r="C2147" i="1"/>
  <c r="D2147" i="1"/>
  <c r="C2148" i="1"/>
  <c r="D2148" i="1"/>
  <c r="C2149" i="1"/>
  <c r="D2149" i="1"/>
  <c r="C2150" i="1"/>
  <c r="D2150" i="1"/>
  <c r="C2151" i="1"/>
  <c r="D2151" i="1"/>
  <c r="C2152" i="1"/>
  <c r="D2152" i="1"/>
  <c r="C2153" i="1"/>
  <c r="D2153" i="1"/>
  <c r="C2154" i="1"/>
  <c r="D2154" i="1"/>
  <c r="C2155" i="1"/>
  <c r="D2155" i="1"/>
  <c r="C2156" i="1"/>
  <c r="D2156" i="1"/>
  <c r="C2157" i="1"/>
  <c r="D2157" i="1"/>
  <c r="C2158" i="1"/>
  <c r="D2158" i="1"/>
  <c r="C2159" i="1"/>
  <c r="D2159" i="1"/>
  <c r="C2160" i="1"/>
  <c r="D2160" i="1"/>
  <c r="C2161" i="1"/>
  <c r="D2161" i="1"/>
  <c r="C2162" i="1"/>
  <c r="D2162" i="1"/>
  <c r="C2163" i="1"/>
  <c r="D2163" i="1"/>
  <c r="C2164" i="1"/>
  <c r="D2164" i="1"/>
  <c r="C2165" i="1"/>
  <c r="D2165" i="1"/>
  <c r="C2166" i="1"/>
  <c r="D2166" i="1"/>
  <c r="C2167" i="1"/>
  <c r="D2167" i="1"/>
  <c r="C2168" i="1"/>
  <c r="D2168" i="1"/>
  <c r="C2169" i="1"/>
  <c r="D2169" i="1"/>
  <c r="C2170" i="1"/>
  <c r="D2170" i="1"/>
  <c r="C2171" i="1"/>
  <c r="D2171" i="1"/>
  <c r="C2172" i="1"/>
  <c r="D2172" i="1"/>
  <c r="C2173" i="1"/>
  <c r="D2173" i="1"/>
  <c r="C2174" i="1"/>
  <c r="D2174" i="1"/>
  <c r="C2175" i="1"/>
  <c r="D2175" i="1"/>
  <c r="C2176" i="1"/>
  <c r="D2176" i="1"/>
  <c r="C2177" i="1"/>
  <c r="D2177" i="1"/>
  <c r="C2178" i="1"/>
  <c r="D2178" i="1"/>
  <c r="C2179" i="1"/>
  <c r="D2179" i="1"/>
  <c r="C2180" i="1"/>
  <c r="D2180" i="1"/>
  <c r="C2181" i="1"/>
  <c r="D2181" i="1"/>
  <c r="C2182" i="1"/>
  <c r="D2182" i="1"/>
  <c r="C2183" i="1"/>
  <c r="D2183" i="1"/>
  <c r="C2184" i="1"/>
  <c r="D2184" i="1"/>
  <c r="C2185" i="1"/>
  <c r="D2185" i="1"/>
  <c r="C2186" i="1"/>
  <c r="D2186" i="1"/>
  <c r="C2187" i="1"/>
  <c r="D2187" i="1"/>
  <c r="C2188" i="1"/>
  <c r="D2188" i="1"/>
  <c r="C2189" i="1"/>
  <c r="D2189" i="1"/>
  <c r="C2190" i="1"/>
  <c r="D2190" i="1"/>
  <c r="C2191" i="1"/>
  <c r="D2191" i="1"/>
  <c r="C2192" i="1"/>
  <c r="D2192" i="1"/>
  <c r="C2193" i="1"/>
  <c r="D2193" i="1"/>
  <c r="C2194" i="1"/>
  <c r="D2194" i="1"/>
  <c r="C2195" i="1"/>
  <c r="D2195" i="1"/>
  <c r="C2196" i="1"/>
  <c r="D2196" i="1"/>
  <c r="C2197" i="1"/>
  <c r="D2197" i="1"/>
  <c r="C2198" i="1"/>
  <c r="D2198" i="1"/>
  <c r="C2199" i="1"/>
  <c r="D2199" i="1"/>
  <c r="C2200" i="1"/>
  <c r="D2200" i="1"/>
  <c r="C2201" i="1"/>
  <c r="D2201" i="1"/>
  <c r="C2202" i="1"/>
  <c r="D2202" i="1"/>
  <c r="C2203" i="1"/>
  <c r="D2203" i="1"/>
  <c r="C2204" i="1"/>
  <c r="D2204" i="1"/>
  <c r="C2205" i="1"/>
  <c r="D2205" i="1"/>
  <c r="C2206" i="1"/>
  <c r="D2206" i="1"/>
  <c r="C2207" i="1"/>
  <c r="D2207" i="1"/>
  <c r="C2208" i="1"/>
  <c r="D2208" i="1"/>
  <c r="C2209" i="1"/>
  <c r="D2209" i="1"/>
  <c r="C2210" i="1"/>
  <c r="D2210" i="1"/>
  <c r="C2211" i="1"/>
  <c r="D2211" i="1"/>
  <c r="C2212" i="1"/>
  <c r="D2212" i="1"/>
  <c r="C2213" i="1"/>
  <c r="D2213" i="1"/>
  <c r="C2214" i="1"/>
  <c r="D2214" i="1"/>
  <c r="C2215" i="1"/>
  <c r="D2215" i="1"/>
  <c r="C2216" i="1"/>
  <c r="D2216" i="1"/>
  <c r="C2217" i="1"/>
  <c r="D2217" i="1"/>
  <c r="C2218" i="1"/>
  <c r="D2218" i="1"/>
  <c r="C2219" i="1"/>
  <c r="D2219" i="1"/>
  <c r="C2220" i="1"/>
  <c r="D2220" i="1"/>
  <c r="C2221" i="1"/>
  <c r="D2221" i="1"/>
  <c r="C2222" i="1"/>
  <c r="D2222" i="1"/>
  <c r="C2223" i="1"/>
  <c r="D2223" i="1"/>
  <c r="C2224" i="1"/>
  <c r="D2224" i="1"/>
  <c r="C2225" i="1"/>
  <c r="D2225" i="1"/>
  <c r="C2226" i="1"/>
  <c r="D2226" i="1"/>
  <c r="C2227" i="1"/>
  <c r="D2227" i="1"/>
  <c r="C2228" i="1"/>
  <c r="D2228" i="1"/>
  <c r="C2229" i="1"/>
  <c r="D2229" i="1"/>
  <c r="C2230" i="1"/>
  <c r="D2230" i="1"/>
  <c r="C2231" i="1"/>
  <c r="D2231" i="1"/>
  <c r="C2232" i="1"/>
  <c r="D2232" i="1"/>
  <c r="C2233" i="1"/>
  <c r="D2233" i="1"/>
  <c r="C2234" i="1"/>
  <c r="D2234" i="1"/>
  <c r="C2235" i="1"/>
  <c r="D2235" i="1"/>
  <c r="C2236" i="1"/>
  <c r="D2236" i="1"/>
  <c r="C2237" i="1"/>
  <c r="D2237" i="1"/>
  <c r="C2238" i="1"/>
  <c r="D2238" i="1"/>
  <c r="C2239" i="1"/>
  <c r="D2239" i="1"/>
  <c r="C2240" i="1"/>
  <c r="D2240" i="1"/>
  <c r="C2241" i="1"/>
  <c r="D2241" i="1"/>
  <c r="C2242" i="1"/>
  <c r="D2242" i="1"/>
  <c r="C2243" i="1"/>
  <c r="D2243" i="1"/>
  <c r="C2244" i="1"/>
  <c r="D2244" i="1"/>
  <c r="C2245" i="1"/>
  <c r="D2245" i="1"/>
  <c r="C2246" i="1"/>
  <c r="D2246" i="1"/>
  <c r="C2247" i="1"/>
  <c r="D2247" i="1"/>
  <c r="C2248" i="1"/>
  <c r="D2248" i="1"/>
  <c r="C2249" i="1"/>
  <c r="D2249" i="1"/>
  <c r="C2250" i="1"/>
  <c r="D2250" i="1"/>
  <c r="C2251" i="1"/>
  <c r="D2251" i="1"/>
  <c r="C2252" i="1"/>
  <c r="D2252" i="1"/>
  <c r="C2253" i="1"/>
  <c r="D2253" i="1"/>
  <c r="C2254" i="1"/>
  <c r="D2254" i="1"/>
  <c r="C2255" i="1"/>
  <c r="D2255" i="1"/>
  <c r="C2256" i="1"/>
  <c r="D2256" i="1"/>
  <c r="C2257" i="1"/>
  <c r="D2257" i="1"/>
  <c r="C2258" i="1"/>
  <c r="D2258" i="1"/>
  <c r="C2259" i="1"/>
  <c r="D2259" i="1"/>
  <c r="C2260" i="1"/>
  <c r="D2260" i="1"/>
  <c r="C2261" i="1"/>
  <c r="D2261" i="1"/>
  <c r="C2262" i="1"/>
  <c r="D2262" i="1"/>
  <c r="C2263" i="1"/>
  <c r="D2263" i="1"/>
  <c r="C2264" i="1"/>
  <c r="D2264" i="1"/>
  <c r="C2265" i="1"/>
  <c r="D2265" i="1"/>
  <c r="C2266" i="1"/>
  <c r="D2266" i="1"/>
  <c r="C2267" i="1"/>
  <c r="D2267" i="1"/>
  <c r="C2268" i="1"/>
  <c r="D2268" i="1"/>
  <c r="C2269" i="1"/>
  <c r="D2269" i="1"/>
  <c r="C2270" i="1"/>
  <c r="D2270" i="1"/>
  <c r="C2271" i="1"/>
  <c r="D2271" i="1"/>
  <c r="C2272" i="1"/>
  <c r="D2272" i="1"/>
  <c r="C2273" i="1"/>
  <c r="D2273" i="1"/>
  <c r="C2274" i="1"/>
  <c r="D2274" i="1"/>
  <c r="C2275" i="1"/>
  <c r="D2275" i="1"/>
  <c r="C2276" i="1"/>
  <c r="D2276" i="1"/>
  <c r="C2277" i="1"/>
  <c r="D2277" i="1"/>
  <c r="C2278" i="1"/>
  <c r="D2278" i="1"/>
  <c r="C2279" i="1"/>
  <c r="D2279" i="1"/>
  <c r="C2280" i="1"/>
  <c r="D2280" i="1"/>
  <c r="C2281" i="1"/>
  <c r="D2281" i="1"/>
  <c r="C2282" i="1"/>
  <c r="D2282" i="1"/>
  <c r="C2283" i="1"/>
  <c r="D2283" i="1"/>
  <c r="C2284" i="1"/>
  <c r="D2284" i="1"/>
  <c r="C2285" i="1"/>
  <c r="D2285" i="1"/>
  <c r="C2286" i="1"/>
  <c r="D2286" i="1"/>
  <c r="C2287" i="1"/>
  <c r="D2287" i="1"/>
  <c r="C2288" i="1"/>
  <c r="D2288" i="1"/>
  <c r="C2289" i="1"/>
  <c r="D2289" i="1"/>
  <c r="C2290" i="1"/>
  <c r="D2290" i="1"/>
  <c r="C2291" i="1"/>
  <c r="D2291" i="1"/>
  <c r="C2292" i="1"/>
  <c r="D2292" i="1"/>
  <c r="C2293" i="1"/>
  <c r="D2293" i="1"/>
  <c r="C2294" i="1"/>
  <c r="D2294" i="1"/>
  <c r="C2295" i="1"/>
  <c r="D2295" i="1"/>
  <c r="C2296" i="1"/>
  <c r="D2296" i="1"/>
  <c r="C2297" i="1"/>
  <c r="D2297" i="1"/>
  <c r="C2298" i="1"/>
  <c r="D2298" i="1"/>
  <c r="C2299" i="1"/>
  <c r="D2299" i="1"/>
  <c r="C2300" i="1"/>
  <c r="D2300" i="1"/>
  <c r="C2301" i="1"/>
  <c r="D2301" i="1"/>
  <c r="C2302" i="1"/>
  <c r="D2302" i="1"/>
  <c r="C2303" i="1"/>
  <c r="D2303" i="1"/>
  <c r="C2304" i="1"/>
  <c r="D2304" i="1"/>
  <c r="C2305" i="1"/>
  <c r="D2305" i="1"/>
  <c r="C2306" i="1"/>
  <c r="D2306" i="1"/>
  <c r="C2307" i="1"/>
  <c r="D2307" i="1"/>
  <c r="C2308" i="1"/>
  <c r="D2308" i="1"/>
  <c r="C2309" i="1"/>
  <c r="D2309" i="1"/>
  <c r="C2310" i="1"/>
  <c r="D2310" i="1"/>
  <c r="C2311" i="1"/>
  <c r="D2311" i="1"/>
  <c r="C2312" i="1"/>
  <c r="D2312" i="1"/>
  <c r="C2313" i="1"/>
  <c r="D2313" i="1"/>
  <c r="C2314" i="1"/>
  <c r="D2314" i="1"/>
  <c r="C2315" i="1"/>
  <c r="D2315" i="1"/>
  <c r="C2316" i="1"/>
  <c r="D2316" i="1"/>
  <c r="C2317" i="1"/>
  <c r="D2317" i="1"/>
  <c r="C2318" i="1"/>
  <c r="D2318" i="1"/>
  <c r="C2319" i="1"/>
  <c r="D2319" i="1"/>
  <c r="C2320" i="1"/>
  <c r="D2320" i="1"/>
  <c r="C2321" i="1"/>
  <c r="D2321" i="1"/>
  <c r="C2322" i="1"/>
  <c r="D2322" i="1"/>
  <c r="C2323" i="1"/>
  <c r="D2323" i="1"/>
  <c r="C2324" i="1"/>
  <c r="D2324" i="1"/>
  <c r="C2325" i="1"/>
  <c r="D2325" i="1"/>
  <c r="C2326" i="1"/>
  <c r="D2326" i="1"/>
  <c r="C2327" i="1"/>
  <c r="D2327" i="1"/>
  <c r="C2328" i="1"/>
  <c r="D2328" i="1"/>
  <c r="C2329" i="1"/>
  <c r="D2329" i="1"/>
  <c r="C2330" i="1"/>
  <c r="D2330" i="1"/>
  <c r="C2331" i="1"/>
  <c r="D2331" i="1"/>
  <c r="C2332" i="1"/>
  <c r="D2332" i="1"/>
  <c r="C2333" i="1"/>
  <c r="D2333" i="1"/>
  <c r="C2334" i="1"/>
  <c r="D2334" i="1"/>
  <c r="C2335" i="1"/>
  <c r="D2335" i="1"/>
  <c r="C2336" i="1"/>
  <c r="D2336" i="1"/>
  <c r="C2337" i="1"/>
  <c r="D2337" i="1"/>
  <c r="C2338" i="1"/>
  <c r="D2338" i="1"/>
  <c r="C2339" i="1"/>
  <c r="D2339" i="1"/>
  <c r="C2340" i="1"/>
  <c r="D2340" i="1"/>
  <c r="C2341" i="1"/>
  <c r="D2341" i="1"/>
  <c r="C2342" i="1"/>
  <c r="D2342" i="1"/>
  <c r="C2343" i="1"/>
  <c r="D2343" i="1"/>
  <c r="C2344" i="1"/>
  <c r="D2344" i="1"/>
  <c r="C2345" i="1"/>
  <c r="D2345" i="1"/>
  <c r="C2346" i="1"/>
  <c r="D2346" i="1"/>
  <c r="C2347" i="1"/>
  <c r="D2347" i="1"/>
  <c r="C2348" i="1"/>
  <c r="D2348" i="1"/>
  <c r="C2349" i="1"/>
  <c r="D2349" i="1"/>
  <c r="C2350" i="1"/>
  <c r="D2350" i="1"/>
  <c r="C2351" i="1"/>
  <c r="D2351" i="1"/>
  <c r="C2352" i="1"/>
  <c r="D2352" i="1"/>
  <c r="C2353" i="1"/>
  <c r="D2353" i="1"/>
  <c r="C2354" i="1"/>
  <c r="D2354" i="1"/>
  <c r="C2355" i="1"/>
  <c r="D2355" i="1"/>
  <c r="C2356" i="1"/>
  <c r="D2356" i="1"/>
  <c r="C2357" i="1"/>
  <c r="D2357" i="1"/>
  <c r="C2358" i="1"/>
  <c r="D2358" i="1"/>
  <c r="C2359" i="1"/>
  <c r="D2359" i="1"/>
  <c r="C2360" i="1"/>
  <c r="D2360" i="1"/>
  <c r="C2361" i="1"/>
  <c r="D2361" i="1"/>
  <c r="C2362" i="1"/>
  <c r="D2362" i="1"/>
  <c r="C2363" i="1"/>
  <c r="D2363" i="1"/>
  <c r="C2364" i="1"/>
  <c r="D2364" i="1"/>
  <c r="C2365" i="1"/>
  <c r="D2365" i="1"/>
  <c r="C2366" i="1"/>
  <c r="D2366" i="1"/>
  <c r="C2367" i="1"/>
  <c r="D2367" i="1"/>
  <c r="C2368" i="1"/>
  <c r="D2368" i="1"/>
  <c r="C2369" i="1"/>
  <c r="D2369" i="1"/>
  <c r="C2370" i="1"/>
  <c r="D2370" i="1"/>
  <c r="C2371" i="1"/>
  <c r="D2371" i="1"/>
  <c r="C2372" i="1"/>
  <c r="D2372" i="1"/>
  <c r="C2373" i="1"/>
  <c r="D2373" i="1"/>
  <c r="C2374" i="1"/>
  <c r="D2374" i="1"/>
  <c r="C2375" i="1"/>
  <c r="D2375" i="1"/>
  <c r="C2376" i="1"/>
  <c r="D2376" i="1"/>
  <c r="C2377" i="1"/>
  <c r="D2377" i="1"/>
  <c r="C2378" i="1"/>
  <c r="D2378" i="1"/>
  <c r="C2379" i="1"/>
  <c r="D2379" i="1"/>
  <c r="C2380" i="1"/>
  <c r="D2380" i="1"/>
  <c r="C2381" i="1"/>
  <c r="D2381" i="1"/>
  <c r="C2382" i="1"/>
  <c r="D2382" i="1"/>
  <c r="C2383" i="1"/>
  <c r="D2383" i="1"/>
  <c r="C2384" i="1"/>
  <c r="D2384" i="1"/>
  <c r="C2385" i="1"/>
  <c r="D2385" i="1"/>
  <c r="C2386" i="1"/>
  <c r="D2386" i="1"/>
  <c r="C2387" i="1"/>
  <c r="D2387" i="1"/>
  <c r="C2388" i="1"/>
  <c r="D2388" i="1"/>
  <c r="C2389" i="1"/>
  <c r="D2389" i="1"/>
  <c r="C2390" i="1"/>
  <c r="D2390" i="1"/>
  <c r="C2391" i="1"/>
  <c r="D2391" i="1"/>
  <c r="C2392" i="1"/>
  <c r="D2392" i="1"/>
  <c r="C2393" i="1"/>
  <c r="D2393" i="1"/>
  <c r="C2394" i="1"/>
  <c r="D2394" i="1"/>
  <c r="C2395" i="1"/>
  <c r="D2395" i="1"/>
  <c r="C2396" i="1"/>
  <c r="D2396" i="1"/>
  <c r="C2397" i="1"/>
  <c r="D2397" i="1"/>
  <c r="C2398" i="1"/>
  <c r="D2398" i="1"/>
  <c r="C2399" i="1"/>
  <c r="D2399" i="1"/>
  <c r="C2400" i="1"/>
  <c r="D2400" i="1"/>
  <c r="C2401" i="1"/>
  <c r="D2401" i="1"/>
  <c r="C2402" i="1"/>
  <c r="D2402" i="1"/>
  <c r="C2403" i="1"/>
  <c r="D2403" i="1"/>
  <c r="C2404" i="1"/>
  <c r="D2404" i="1"/>
  <c r="C2405" i="1"/>
  <c r="D2405" i="1"/>
  <c r="C2406" i="1"/>
  <c r="D2406" i="1"/>
  <c r="C2407" i="1"/>
  <c r="D2407" i="1"/>
  <c r="C2408" i="1"/>
  <c r="D2408" i="1"/>
  <c r="C2409" i="1"/>
  <c r="D2409" i="1"/>
  <c r="C2410" i="1"/>
  <c r="D2410" i="1"/>
  <c r="C2411" i="1"/>
  <c r="D2411" i="1"/>
  <c r="C2412" i="1"/>
  <c r="D2412" i="1"/>
  <c r="C2413" i="1"/>
  <c r="D2413" i="1"/>
  <c r="C2414" i="1"/>
  <c r="D2414" i="1"/>
  <c r="C2415" i="1"/>
  <c r="D2415" i="1"/>
  <c r="C2416" i="1"/>
  <c r="D2416" i="1"/>
  <c r="C2417" i="1"/>
  <c r="D2417" i="1"/>
  <c r="C2418" i="1"/>
  <c r="D2418" i="1"/>
  <c r="C2419" i="1"/>
  <c r="D2419" i="1"/>
  <c r="C2420" i="1"/>
  <c r="D2420" i="1"/>
  <c r="C2421" i="1"/>
  <c r="D2421" i="1"/>
  <c r="C2422" i="1"/>
  <c r="D2422" i="1"/>
  <c r="C2423" i="1"/>
  <c r="D2423" i="1"/>
  <c r="C2424" i="1"/>
  <c r="D2424" i="1"/>
  <c r="C2425" i="1"/>
  <c r="D2425" i="1"/>
  <c r="C2426" i="1"/>
  <c r="D2426" i="1"/>
  <c r="C2427" i="1"/>
  <c r="D2427" i="1"/>
  <c r="C2428" i="1"/>
  <c r="D2428" i="1"/>
  <c r="C2429" i="1"/>
  <c r="D2429" i="1"/>
  <c r="C2430" i="1"/>
  <c r="D2430" i="1"/>
  <c r="C2431" i="1"/>
  <c r="D2431" i="1"/>
  <c r="C2432" i="1"/>
  <c r="D2432" i="1"/>
  <c r="C2433" i="1"/>
  <c r="D2433" i="1"/>
  <c r="C2434" i="1"/>
  <c r="D2434" i="1"/>
  <c r="C2435" i="1"/>
  <c r="D2435" i="1"/>
  <c r="C2436" i="1"/>
  <c r="D2436" i="1"/>
  <c r="C2437" i="1"/>
  <c r="D2437" i="1"/>
  <c r="C2438" i="1"/>
  <c r="D2438" i="1"/>
  <c r="C2439" i="1"/>
  <c r="D2439" i="1"/>
  <c r="C2440" i="1"/>
  <c r="D2440" i="1"/>
  <c r="C2441" i="1"/>
  <c r="D2441" i="1"/>
  <c r="C2442" i="1"/>
  <c r="D2442" i="1"/>
  <c r="C2443" i="1"/>
  <c r="D2443" i="1"/>
  <c r="C2444" i="1"/>
  <c r="D2444" i="1"/>
  <c r="C2445" i="1"/>
  <c r="D2445" i="1"/>
  <c r="C2446" i="1"/>
  <c r="D2446" i="1"/>
  <c r="C2447" i="1"/>
  <c r="D2447" i="1"/>
  <c r="C2448" i="1"/>
  <c r="D2448" i="1"/>
  <c r="C2449" i="1"/>
  <c r="D2449" i="1"/>
  <c r="C2450" i="1"/>
  <c r="D2450" i="1"/>
  <c r="C2451" i="1"/>
  <c r="D2451" i="1"/>
  <c r="C2452" i="1"/>
  <c r="D2452" i="1"/>
  <c r="C2453" i="1"/>
  <c r="D2453" i="1"/>
  <c r="C2454" i="1"/>
  <c r="D2454" i="1"/>
  <c r="C2455" i="1"/>
  <c r="D2455" i="1"/>
  <c r="C2456" i="1"/>
  <c r="D2456" i="1"/>
  <c r="C2457" i="1"/>
  <c r="D2457" i="1"/>
  <c r="C2458" i="1"/>
  <c r="D2458" i="1"/>
  <c r="C2459" i="1"/>
  <c r="D2459" i="1"/>
  <c r="C2460" i="1"/>
  <c r="D2460" i="1"/>
  <c r="C2461" i="1"/>
  <c r="D2461" i="1"/>
  <c r="C2462" i="1"/>
  <c r="D2462" i="1"/>
  <c r="C2463" i="1"/>
  <c r="D2463" i="1"/>
  <c r="C2464" i="1"/>
  <c r="D2464" i="1"/>
  <c r="C2465" i="1"/>
  <c r="D2465" i="1"/>
  <c r="C2466" i="1"/>
  <c r="D2466" i="1"/>
  <c r="C2467" i="1"/>
  <c r="D2467" i="1"/>
  <c r="C2468" i="1"/>
  <c r="D2468" i="1"/>
  <c r="C2469" i="1"/>
  <c r="D2469" i="1"/>
  <c r="C2470" i="1"/>
  <c r="D2470" i="1"/>
  <c r="C2471" i="1"/>
  <c r="D2471" i="1"/>
  <c r="C2472" i="1"/>
  <c r="D2472" i="1"/>
  <c r="C2473" i="1"/>
  <c r="D2473" i="1"/>
  <c r="C2474" i="1"/>
  <c r="D2474" i="1"/>
  <c r="C2475" i="1"/>
  <c r="D2475" i="1"/>
  <c r="C2476" i="1"/>
  <c r="D2476" i="1"/>
  <c r="C2477" i="1"/>
  <c r="D2477" i="1"/>
  <c r="C2478" i="1"/>
  <c r="D2478" i="1"/>
  <c r="C2479" i="1"/>
  <c r="D2479" i="1"/>
  <c r="C2480" i="1"/>
  <c r="D2480" i="1"/>
  <c r="C2481" i="1"/>
  <c r="D2481" i="1"/>
  <c r="C2482" i="1"/>
  <c r="D2482" i="1"/>
  <c r="C2483" i="1"/>
  <c r="D2483" i="1"/>
  <c r="C2484" i="1"/>
  <c r="D2484" i="1"/>
  <c r="C2485" i="1"/>
  <c r="D2485" i="1"/>
  <c r="C2486" i="1"/>
  <c r="D2486" i="1"/>
  <c r="C2487" i="1"/>
  <c r="D2487" i="1"/>
  <c r="C2488" i="1"/>
  <c r="D2488" i="1"/>
  <c r="C2489" i="1"/>
  <c r="D2489" i="1"/>
  <c r="C2490" i="1"/>
  <c r="D2490" i="1"/>
  <c r="C2491" i="1"/>
  <c r="D2491" i="1"/>
  <c r="C2492" i="1"/>
  <c r="D2492" i="1"/>
  <c r="C2493" i="1"/>
  <c r="D2493" i="1"/>
  <c r="C2494" i="1"/>
  <c r="D2494" i="1"/>
  <c r="C2495" i="1"/>
  <c r="D2495" i="1"/>
  <c r="C2496" i="1"/>
  <c r="D2496" i="1"/>
  <c r="C2497" i="1"/>
  <c r="D2497" i="1"/>
  <c r="C2498" i="1"/>
  <c r="D2498" i="1"/>
  <c r="C2499" i="1"/>
  <c r="D2499" i="1"/>
  <c r="C2500" i="1"/>
  <c r="D2500" i="1"/>
  <c r="C2501" i="1"/>
  <c r="D2501" i="1"/>
  <c r="C2502" i="1"/>
  <c r="D2502" i="1"/>
  <c r="C2503" i="1"/>
  <c r="D2503" i="1"/>
  <c r="C2504" i="1"/>
  <c r="D2504" i="1"/>
  <c r="C2505" i="1"/>
  <c r="D2505" i="1"/>
  <c r="C2506" i="1"/>
  <c r="D2506" i="1"/>
  <c r="C2507" i="1"/>
  <c r="D2507" i="1"/>
  <c r="C2508" i="1"/>
  <c r="D2508" i="1"/>
  <c r="C2509" i="1"/>
  <c r="D2509" i="1"/>
  <c r="C2510" i="1"/>
  <c r="D2510" i="1"/>
  <c r="C2511" i="1"/>
  <c r="D2511" i="1"/>
  <c r="C2512" i="1"/>
  <c r="D2512" i="1"/>
  <c r="C2513" i="1"/>
  <c r="D2513" i="1"/>
  <c r="C2514" i="1"/>
  <c r="D2514" i="1"/>
  <c r="C2515" i="1"/>
  <c r="D2515" i="1"/>
  <c r="C2516" i="1"/>
  <c r="D2516" i="1"/>
  <c r="C2517" i="1"/>
  <c r="D2517" i="1"/>
  <c r="C2518" i="1"/>
  <c r="D2518" i="1"/>
  <c r="C2519" i="1"/>
  <c r="D2519" i="1"/>
  <c r="C2520" i="1"/>
  <c r="D2520" i="1"/>
  <c r="C2521" i="1"/>
  <c r="D2521" i="1"/>
  <c r="C2522" i="1"/>
  <c r="D2522" i="1"/>
  <c r="C2523" i="1"/>
  <c r="D2523" i="1"/>
  <c r="C2524" i="1"/>
  <c r="D2524" i="1"/>
  <c r="C2525" i="1"/>
  <c r="D2525" i="1"/>
  <c r="C2526" i="1"/>
  <c r="D2526" i="1"/>
  <c r="C2527" i="1"/>
  <c r="D2527" i="1"/>
  <c r="C2528" i="1"/>
  <c r="D2528" i="1"/>
  <c r="C2529" i="1"/>
  <c r="D2529" i="1"/>
  <c r="C2530" i="1"/>
  <c r="D2530" i="1"/>
  <c r="C2531" i="1"/>
  <c r="D2531" i="1"/>
  <c r="C2532" i="1"/>
  <c r="D2532" i="1"/>
  <c r="C2533" i="1"/>
  <c r="D2533" i="1"/>
  <c r="C2534" i="1"/>
  <c r="D2534" i="1"/>
  <c r="C2535" i="1"/>
  <c r="D2535" i="1"/>
  <c r="C2536" i="1"/>
  <c r="D2536" i="1"/>
  <c r="C2537" i="1"/>
  <c r="D2537" i="1"/>
  <c r="C2538" i="1"/>
  <c r="D2538" i="1"/>
  <c r="C2539" i="1"/>
  <c r="D2539" i="1"/>
  <c r="C2540" i="1"/>
  <c r="D2540" i="1"/>
  <c r="C2541" i="1"/>
  <c r="D2541" i="1"/>
  <c r="C2542" i="1"/>
  <c r="D2542" i="1"/>
  <c r="C2543" i="1"/>
  <c r="D2543" i="1"/>
  <c r="C2544" i="1"/>
  <c r="D2544" i="1"/>
  <c r="C2545" i="1"/>
  <c r="D2545" i="1"/>
  <c r="C2546" i="1"/>
  <c r="D2546" i="1"/>
  <c r="C2547" i="1"/>
  <c r="D2547" i="1"/>
  <c r="C2548" i="1"/>
  <c r="D2548" i="1"/>
  <c r="C2549" i="1"/>
  <c r="D2549" i="1"/>
  <c r="C2550" i="1"/>
  <c r="D2550" i="1"/>
  <c r="C2551" i="1"/>
  <c r="D2551" i="1"/>
  <c r="C2552" i="1"/>
  <c r="D2552" i="1"/>
  <c r="C2553" i="1"/>
  <c r="D2553" i="1"/>
  <c r="C2554" i="1"/>
  <c r="D2554" i="1"/>
  <c r="C2555" i="1"/>
  <c r="D2555" i="1"/>
  <c r="C2556" i="1"/>
  <c r="D2556" i="1"/>
  <c r="C2557" i="1"/>
  <c r="D2557" i="1"/>
  <c r="C2558" i="1"/>
  <c r="D2558" i="1"/>
  <c r="C2559" i="1"/>
  <c r="D2559" i="1"/>
  <c r="C2560" i="1"/>
  <c r="D2560" i="1"/>
  <c r="C2561" i="1"/>
  <c r="D2561" i="1"/>
  <c r="C2562" i="1"/>
  <c r="D2562" i="1"/>
  <c r="C2563" i="1"/>
  <c r="D2563" i="1"/>
  <c r="C2564" i="1"/>
  <c r="D2564" i="1"/>
  <c r="C2565" i="1"/>
  <c r="D2565" i="1"/>
  <c r="C2566" i="1"/>
  <c r="D2566" i="1"/>
  <c r="C2567" i="1"/>
  <c r="D2567" i="1"/>
  <c r="C2568" i="1"/>
  <c r="D2568" i="1"/>
  <c r="C2569" i="1"/>
  <c r="D2569" i="1"/>
  <c r="C2570" i="1"/>
  <c r="D2570" i="1"/>
  <c r="C2571" i="1"/>
  <c r="D2571" i="1"/>
  <c r="C2572" i="1"/>
  <c r="D2572" i="1"/>
  <c r="C2573" i="1"/>
  <c r="D2573" i="1"/>
  <c r="C2574" i="1"/>
  <c r="D2574" i="1"/>
  <c r="C2575" i="1"/>
  <c r="D2575" i="1"/>
  <c r="C2576" i="1"/>
  <c r="D2576" i="1"/>
  <c r="C2577" i="1"/>
  <c r="D2577" i="1"/>
  <c r="C2578" i="1"/>
  <c r="D2578" i="1"/>
  <c r="C2579" i="1"/>
  <c r="D2579" i="1"/>
  <c r="C2580" i="1"/>
  <c r="D2580" i="1"/>
  <c r="C2581" i="1"/>
  <c r="D2581" i="1"/>
  <c r="C2582" i="1"/>
  <c r="D2582" i="1"/>
  <c r="C2583" i="1"/>
  <c r="D2583" i="1"/>
  <c r="C2584" i="1"/>
  <c r="D2584" i="1"/>
  <c r="C2585" i="1"/>
  <c r="D2585" i="1"/>
  <c r="C2586" i="1"/>
  <c r="D2586" i="1"/>
  <c r="C2587" i="1"/>
  <c r="D2587" i="1"/>
  <c r="C2588" i="1"/>
  <c r="D2588" i="1"/>
  <c r="C2589" i="1"/>
  <c r="D2589" i="1"/>
  <c r="C2590" i="1"/>
  <c r="D2590" i="1"/>
  <c r="C2591" i="1"/>
  <c r="D2591" i="1"/>
  <c r="C2592" i="1"/>
  <c r="D2592" i="1"/>
  <c r="C2593" i="1"/>
  <c r="D2593" i="1"/>
  <c r="C2594" i="1"/>
  <c r="D2594" i="1"/>
  <c r="C2595" i="1"/>
  <c r="D2595" i="1"/>
  <c r="C2596" i="1"/>
  <c r="D2596" i="1"/>
  <c r="C2597" i="1"/>
  <c r="D2597" i="1"/>
  <c r="C2598" i="1"/>
  <c r="D2598" i="1"/>
  <c r="C2599" i="1"/>
  <c r="D2599" i="1"/>
  <c r="C2600" i="1"/>
  <c r="D2600" i="1"/>
  <c r="C2601" i="1"/>
  <c r="D2601" i="1"/>
  <c r="C2602" i="1"/>
  <c r="D2602" i="1"/>
  <c r="C2603" i="1"/>
  <c r="D2603" i="1"/>
  <c r="C2604" i="1"/>
  <c r="D2604" i="1"/>
  <c r="C2605" i="1"/>
  <c r="D2605" i="1"/>
  <c r="C2606" i="1"/>
  <c r="D2606" i="1"/>
  <c r="C2607" i="1"/>
  <c r="D2607" i="1"/>
  <c r="C2608" i="1"/>
  <c r="D2608" i="1"/>
  <c r="C2609" i="1"/>
  <c r="D2609" i="1"/>
  <c r="C2610" i="1"/>
  <c r="D2610" i="1"/>
  <c r="C2611" i="1"/>
  <c r="D2611" i="1"/>
  <c r="C2612" i="1"/>
  <c r="D2612" i="1"/>
  <c r="C2613" i="1"/>
  <c r="D2613" i="1"/>
  <c r="C2614" i="1"/>
  <c r="D2614" i="1"/>
  <c r="C2615" i="1"/>
  <c r="D2615" i="1"/>
  <c r="C2616" i="1"/>
  <c r="D2616" i="1"/>
  <c r="C2617" i="1"/>
  <c r="D2617" i="1"/>
  <c r="C2618" i="1"/>
  <c r="D2618" i="1"/>
  <c r="C2619" i="1"/>
  <c r="D2619" i="1"/>
  <c r="C2620" i="1"/>
  <c r="D2620" i="1"/>
  <c r="C2621" i="1"/>
  <c r="D2621" i="1"/>
  <c r="C2622" i="1"/>
  <c r="D2622" i="1"/>
  <c r="C2623" i="1"/>
  <c r="D2623" i="1"/>
  <c r="C2624" i="1"/>
  <c r="D2624" i="1"/>
  <c r="C2625" i="1"/>
  <c r="D2625" i="1"/>
  <c r="C2626" i="1"/>
  <c r="D2626" i="1"/>
  <c r="C2627" i="1"/>
  <c r="D2627" i="1"/>
  <c r="C2628" i="1"/>
  <c r="D2628" i="1"/>
  <c r="C2629" i="1"/>
  <c r="D2629" i="1"/>
  <c r="C2630" i="1"/>
  <c r="D2630" i="1"/>
  <c r="C2631" i="1"/>
  <c r="D2631" i="1"/>
  <c r="C2632" i="1"/>
  <c r="D2632" i="1"/>
  <c r="C2633" i="1"/>
  <c r="D2633" i="1"/>
  <c r="C2634" i="1"/>
  <c r="D2634" i="1"/>
  <c r="C2635" i="1"/>
  <c r="D2635" i="1"/>
  <c r="C2636" i="1"/>
  <c r="D2636" i="1"/>
  <c r="C2637" i="1"/>
  <c r="D2637" i="1"/>
  <c r="C2638" i="1"/>
  <c r="D2638" i="1"/>
  <c r="C2639" i="1"/>
  <c r="D2639" i="1"/>
  <c r="C2640" i="1"/>
  <c r="D2640" i="1"/>
  <c r="C2641" i="1"/>
  <c r="D2641" i="1"/>
  <c r="C2642" i="1"/>
  <c r="D2642" i="1"/>
  <c r="C2643" i="1"/>
  <c r="D2643" i="1"/>
  <c r="C2644" i="1"/>
  <c r="D2644" i="1"/>
  <c r="C2645" i="1"/>
  <c r="D2645" i="1"/>
  <c r="C2646" i="1"/>
  <c r="D2646" i="1"/>
  <c r="C2647" i="1"/>
  <c r="D2647" i="1"/>
  <c r="C2648" i="1"/>
  <c r="D2648" i="1"/>
  <c r="C2649" i="1"/>
  <c r="D2649" i="1"/>
  <c r="C2650" i="1"/>
  <c r="D2650" i="1"/>
  <c r="C2651" i="1"/>
  <c r="D2651" i="1"/>
  <c r="C2652" i="1"/>
  <c r="D2652" i="1"/>
  <c r="C2653" i="1"/>
  <c r="D2653" i="1"/>
  <c r="C2654" i="1"/>
  <c r="D2654" i="1"/>
  <c r="C2655" i="1"/>
  <c r="D2655" i="1"/>
  <c r="C2656" i="1"/>
  <c r="D2656" i="1"/>
  <c r="C2657" i="1"/>
  <c r="D2657" i="1"/>
  <c r="C2658" i="1"/>
  <c r="D2658" i="1"/>
  <c r="C2659" i="1"/>
  <c r="D2659" i="1"/>
  <c r="C2660" i="1"/>
  <c r="D2660" i="1"/>
  <c r="C2661" i="1"/>
  <c r="D2661" i="1"/>
  <c r="C2662" i="1"/>
  <c r="D2662" i="1"/>
  <c r="C2663" i="1"/>
  <c r="D2663" i="1"/>
  <c r="C2664" i="1"/>
  <c r="D2664" i="1"/>
  <c r="C2665" i="1"/>
  <c r="D2665" i="1"/>
  <c r="C2666" i="1"/>
  <c r="D2666" i="1"/>
  <c r="C2667" i="1"/>
  <c r="D2667" i="1"/>
  <c r="C2668" i="1"/>
  <c r="D2668" i="1"/>
  <c r="C2669" i="1"/>
  <c r="D2669" i="1"/>
  <c r="C2670" i="1"/>
  <c r="D2670" i="1"/>
  <c r="C2671" i="1"/>
  <c r="D2671" i="1"/>
  <c r="C2672" i="1"/>
  <c r="D2672" i="1"/>
  <c r="C2673" i="1"/>
  <c r="D2673" i="1"/>
  <c r="C2674" i="1"/>
  <c r="D2674" i="1"/>
  <c r="C2675" i="1"/>
  <c r="D2675" i="1"/>
  <c r="C2676" i="1"/>
  <c r="D2676" i="1"/>
  <c r="C2677" i="1"/>
  <c r="D2677" i="1"/>
  <c r="C2678" i="1"/>
  <c r="D2678" i="1"/>
  <c r="C2679" i="1"/>
  <c r="D2679" i="1"/>
  <c r="C2680" i="1"/>
  <c r="D2680" i="1"/>
  <c r="C2681" i="1"/>
  <c r="D2681" i="1"/>
  <c r="C2682" i="1"/>
  <c r="D2682" i="1"/>
  <c r="C2683" i="1"/>
  <c r="D2683" i="1"/>
  <c r="C2684" i="1"/>
  <c r="D2684" i="1"/>
  <c r="C2685" i="1"/>
  <c r="D2685" i="1"/>
  <c r="C2686" i="1"/>
  <c r="D2686" i="1"/>
  <c r="C2687" i="1"/>
  <c r="D2687" i="1"/>
  <c r="C2688" i="1"/>
  <c r="D2688" i="1"/>
  <c r="C2689" i="1"/>
  <c r="D2689" i="1"/>
  <c r="C2690" i="1"/>
  <c r="D2690" i="1"/>
  <c r="C2691" i="1"/>
  <c r="D2691" i="1"/>
  <c r="C2692" i="1"/>
  <c r="D2692" i="1"/>
  <c r="C2693" i="1"/>
  <c r="D2693" i="1"/>
  <c r="C2694" i="1"/>
  <c r="D2694" i="1"/>
  <c r="C2695" i="1"/>
  <c r="D2695" i="1"/>
  <c r="C2696" i="1"/>
  <c r="D2696" i="1"/>
  <c r="C2697" i="1"/>
  <c r="D2697" i="1"/>
  <c r="C2698" i="1"/>
  <c r="D2698" i="1"/>
  <c r="C2699" i="1"/>
  <c r="D2699" i="1"/>
  <c r="C2700" i="1"/>
  <c r="D2700" i="1"/>
  <c r="C2701" i="1"/>
  <c r="D2701" i="1"/>
  <c r="C2702" i="1"/>
  <c r="D2702" i="1"/>
  <c r="C2703" i="1"/>
  <c r="D2703" i="1"/>
  <c r="C2704" i="1"/>
  <c r="D2704" i="1"/>
  <c r="C2705" i="1"/>
  <c r="D2705" i="1"/>
  <c r="C2706" i="1"/>
  <c r="D2706" i="1"/>
  <c r="C2707" i="1"/>
  <c r="D2707" i="1"/>
  <c r="C2708" i="1"/>
  <c r="D2708" i="1"/>
  <c r="C2709" i="1"/>
  <c r="D2709" i="1"/>
  <c r="C2710" i="1"/>
  <c r="D2710" i="1"/>
  <c r="C2711" i="1"/>
  <c r="D2711" i="1"/>
  <c r="C2712" i="1"/>
  <c r="D2712" i="1"/>
  <c r="C2713" i="1"/>
  <c r="D2713" i="1"/>
  <c r="C2714" i="1"/>
  <c r="D2714" i="1"/>
  <c r="C2715" i="1"/>
  <c r="D2715" i="1"/>
  <c r="C2716" i="1"/>
  <c r="D2716" i="1"/>
  <c r="C2717" i="1"/>
  <c r="D2717" i="1"/>
  <c r="C2718" i="1"/>
  <c r="D2718" i="1"/>
  <c r="C2719" i="1"/>
  <c r="D2719" i="1"/>
  <c r="C2720" i="1"/>
  <c r="D2720" i="1"/>
  <c r="C2721" i="1"/>
  <c r="D2721" i="1"/>
  <c r="C2722" i="1"/>
  <c r="D2722" i="1"/>
  <c r="C2723" i="1"/>
  <c r="D2723" i="1"/>
  <c r="C2724" i="1"/>
  <c r="D2724" i="1"/>
  <c r="C2725" i="1"/>
  <c r="D2725" i="1"/>
  <c r="C2726" i="1"/>
  <c r="D2726" i="1"/>
  <c r="C2727" i="1"/>
  <c r="D2727" i="1"/>
  <c r="C2728" i="1"/>
  <c r="D2728" i="1"/>
  <c r="C2729" i="1"/>
  <c r="D2729" i="1"/>
  <c r="C2730" i="1"/>
  <c r="D2730" i="1"/>
  <c r="C2731" i="1"/>
  <c r="D2731" i="1"/>
  <c r="C2732" i="1"/>
  <c r="D2732" i="1"/>
  <c r="C2733" i="1"/>
  <c r="D2733" i="1"/>
  <c r="C2734" i="1"/>
  <c r="D2734" i="1"/>
  <c r="C2735" i="1"/>
  <c r="D2735" i="1"/>
  <c r="C2736" i="1"/>
  <c r="D2736" i="1"/>
  <c r="C2737" i="1"/>
  <c r="D2737" i="1"/>
  <c r="C2738" i="1"/>
  <c r="D2738" i="1"/>
  <c r="C2739" i="1"/>
  <c r="D2739" i="1"/>
  <c r="C2740" i="1"/>
  <c r="D2740" i="1"/>
  <c r="C2741" i="1"/>
  <c r="D2741" i="1"/>
  <c r="C2742" i="1"/>
  <c r="D2742" i="1"/>
  <c r="C2743" i="1"/>
  <c r="D2743" i="1"/>
  <c r="C2744" i="1"/>
  <c r="D2744" i="1"/>
  <c r="C2745" i="1"/>
  <c r="D2745" i="1"/>
  <c r="C2746" i="1"/>
  <c r="D2746" i="1"/>
  <c r="C2747" i="1"/>
  <c r="D2747" i="1"/>
  <c r="C2748" i="1"/>
  <c r="D2748" i="1"/>
  <c r="C2749" i="1"/>
  <c r="D2749" i="1"/>
  <c r="C2750" i="1"/>
  <c r="D2750" i="1"/>
  <c r="C2751" i="1"/>
  <c r="D2751" i="1"/>
  <c r="C2752" i="1"/>
  <c r="D2752" i="1"/>
  <c r="C2753" i="1"/>
  <c r="D2753" i="1"/>
  <c r="C2754" i="1"/>
  <c r="D2754" i="1"/>
  <c r="C2755" i="1"/>
  <c r="D2755" i="1"/>
  <c r="C2756" i="1"/>
  <c r="D2756" i="1"/>
  <c r="C2757" i="1"/>
  <c r="D2757" i="1"/>
  <c r="C2758" i="1"/>
  <c r="D2758" i="1"/>
  <c r="C2759" i="1"/>
  <c r="D2759" i="1"/>
  <c r="C2760" i="1"/>
  <c r="D2760" i="1"/>
  <c r="C2761" i="1"/>
  <c r="D2761" i="1"/>
  <c r="C2762" i="1"/>
  <c r="D2762" i="1"/>
  <c r="C2763" i="1"/>
  <c r="D2763" i="1"/>
  <c r="C2764" i="1"/>
  <c r="D2764" i="1"/>
  <c r="C2765" i="1"/>
  <c r="D2765" i="1"/>
  <c r="C2766" i="1"/>
  <c r="D2766" i="1"/>
  <c r="C2767" i="1"/>
  <c r="D2767" i="1"/>
  <c r="C2768" i="1"/>
  <c r="D2768" i="1"/>
  <c r="C2769" i="1"/>
  <c r="D2769" i="1"/>
  <c r="C2770" i="1"/>
  <c r="D2770" i="1"/>
  <c r="C2771" i="1"/>
  <c r="D2771" i="1"/>
  <c r="C2772" i="1"/>
  <c r="D2772" i="1"/>
  <c r="C2773" i="1"/>
  <c r="D2773" i="1"/>
  <c r="C2774" i="1"/>
  <c r="D2774" i="1"/>
  <c r="C2775" i="1"/>
  <c r="D2775" i="1"/>
  <c r="C2776" i="1"/>
  <c r="D2776" i="1"/>
  <c r="C2777" i="1"/>
  <c r="D2777" i="1"/>
  <c r="C2778" i="1"/>
  <c r="D2778" i="1"/>
  <c r="C2779" i="1"/>
  <c r="D2779" i="1"/>
  <c r="C2780" i="1"/>
  <c r="D2780" i="1"/>
  <c r="C2781" i="1"/>
  <c r="D2781" i="1"/>
  <c r="C2782" i="1"/>
  <c r="D2782" i="1"/>
  <c r="C2783" i="1"/>
  <c r="D2783" i="1"/>
  <c r="C2784" i="1"/>
  <c r="D2784" i="1"/>
  <c r="C2785" i="1"/>
  <c r="D2785" i="1"/>
  <c r="C2786" i="1"/>
  <c r="D2786" i="1"/>
  <c r="C2787" i="1"/>
  <c r="D2787" i="1"/>
  <c r="C2788" i="1"/>
  <c r="D2788" i="1"/>
  <c r="C2789" i="1"/>
  <c r="D2789" i="1"/>
  <c r="C2790" i="1"/>
  <c r="D2790" i="1"/>
  <c r="C2791" i="1"/>
  <c r="D2791" i="1"/>
  <c r="C2792" i="1"/>
  <c r="D2792" i="1"/>
  <c r="C2793" i="1"/>
  <c r="D2793" i="1"/>
  <c r="C2794" i="1"/>
  <c r="D2794" i="1"/>
  <c r="C2795" i="1"/>
  <c r="D2795" i="1"/>
  <c r="C2796" i="1"/>
  <c r="D2796" i="1"/>
  <c r="C2797" i="1"/>
  <c r="D2797" i="1"/>
  <c r="C2798" i="1"/>
  <c r="D2798" i="1"/>
  <c r="C2799" i="1"/>
  <c r="D2799" i="1"/>
  <c r="C2800" i="1"/>
  <c r="D2800" i="1"/>
  <c r="C2801" i="1"/>
  <c r="D2801" i="1"/>
  <c r="C2802" i="1"/>
  <c r="D2802" i="1"/>
  <c r="C2803" i="1"/>
  <c r="D2803" i="1"/>
  <c r="C2804" i="1"/>
  <c r="D2804" i="1"/>
  <c r="C2805" i="1"/>
  <c r="D2805" i="1"/>
  <c r="C2806" i="1"/>
  <c r="D2806" i="1"/>
  <c r="C2807" i="1"/>
  <c r="D2807" i="1"/>
  <c r="C2808" i="1"/>
  <c r="D2808" i="1"/>
  <c r="C2809" i="1"/>
  <c r="D2809" i="1"/>
  <c r="C2810" i="1"/>
  <c r="D2810" i="1"/>
  <c r="C2811" i="1"/>
  <c r="D2811" i="1"/>
  <c r="C2812" i="1"/>
  <c r="D2812" i="1"/>
  <c r="C2813" i="1"/>
  <c r="D2813" i="1"/>
  <c r="C2814" i="1"/>
  <c r="D2814" i="1"/>
  <c r="C2815" i="1"/>
  <c r="D2815" i="1"/>
  <c r="C2816" i="1"/>
  <c r="D2816" i="1"/>
  <c r="C2817" i="1"/>
  <c r="D2817" i="1"/>
  <c r="C2818" i="1"/>
  <c r="D2818" i="1"/>
  <c r="C2819" i="1"/>
  <c r="D2819" i="1"/>
  <c r="C2820" i="1"/>
  <c r="D2820" i="1"/>
  <c r="C2821" i="1"/>
  <c r="D2821" i="1"/>
  <c r="C2822" i="1"/>
  <c r="D2822" i="1"/>
  <c r="C2823" i="1"/>
  <c r="D2823" i="1"/>
  <c r="C2824" i="1"/>
  <c r="D2824" i="1"/>
  <c r="C2825" i="1"/>
  <c r="D2825" i="1"/>
  <c r="C2826" i="1"/>
  <c r="D2826" i="1"/>
  <c r="C2827" i="1"/>
  <c r="D2827" i="1"/>
  <c r="C2828" i="1"/>
  <c r="D2828" i="1"/>
  <c r="C2829" i="1"/>
  <c r="D2829" i="1"/>
  <c r="C2830" i="1"/>
  <c r="D2830" i="1"/>
  <c r="C2831" i="1"/>
  <c r="D2831" i="1"/>
  <c r="C2832" i="1"/>
  <c r="D2832" i="1"/>
  <c r="C2833" i="1"/>
  <c r="D2833" i="1"/>
  <c r="C2834" i="1"/>
  <c r="D2834" i="1"/>
  <c r="C2835" i="1"/>
  <c r="D2835" i="1"/>
  <c r="C2836" i="1"/>
  <c r="D2836" i="1"/>
  <c r="C2837" i="1"/>
  <c r="D2837" i="1"/>
  <c r="C2838" i="1"/>
  <c r="D2838" i="1"/>
  <c r="C2839" i="1"/>
  <c r="D2839" i="1"/>
  <c r="C2840" i="1"/>
  <c r="D2840" i="1"/>
  <c r="C2841" i="1"/>
  <c r="D2841" i="1"/>
  <c r="C2842" i="1"/>
  <c r="D2842" i="1"/>
  <c r="C2843" i="1"/>
  <c r="D2843" i="1"/>
  <c r="C2844" i="1"/>
  <c r="D2844" i="1"/>
  <c r="C2845" i="1"/>
  <c r="D2845" i="1"/>
  <c r="C2846" i="1"/>
  <c r="D2846" i="1"/>
  <c r="C2847" i="1"/>
  <c r="D2847" i="1"/>
  <c r="C2848" i="1"/>
  <c r="D2848" i="1"/>
  <c r="C2849" i="1"/>
  <c r="D2849" i="1"/>
  <c r="C2850" i="1"/>
  <c r="D2850" i="1"/>
  <c r="C2851" i="1"/>
  <c r="D2851" i="1"/>
  <c r="C2852" i="1"/>
  <c r="D2852" i="1"/>
  <c r="C2853" i="1"/>
  <c r="D2853" i="1"/>
  <c r="C2854" i="1"/>
  <c r="D2854" i="1"/>
  <c r="C2855" i="1"/>
  <c r="D2855" i="1"/>
  <c r="C2856" i="1"/>
  <c r="D2856" i="1"/>
  <c r="C2857" i="1"/>
  <c r="D2857" i="1"/>
  <c r="C2858" i="1"/>
  <c r="D2858" i="1"/>
  <c r="C2859" i="1"/>
  <c r="D2859" i="1"/>
  <c r="C2860" i="1"/>
  <c r="D2860" i="1"/>
  <c r="C2861" i="1"/>
  <c r="D2861" i="1"/>
  <c r="C2862" i="1"/>
  <c r="D2862" i="1"/>
  <c r="C2863" i="1"/>
  <c r="D2863" i="1"/>
  <c r="C2864" i="1"/>
  <c r="D2864" i="1"/>
  <c r="C2865" i="1"/>
  <c r="D2865" i="1"/>
  <c r="C2866" i="1"/>
  <c r="D2866" i="1"/>
  <c r="C2867" i="1"/>
  <c r="D2867" i="1"/>
  <c r="C2868" i="1"/>
  <c r="D2868" i="1"/>
  <c r="C2869" i="1"/>
  <c r="D2869" i="1"/>
  <c r="C2870" i="1"/>
  <c r="D2870" i="1"/>
  <c r="C2871" i="1"/>
  <c r="D2871" i="1"/>
  <c r="C2872" i="1"/>
  <c r="D2872" i="1"/>
  <c r="C2873" i="1"/>
  <c r="D2873" i="1"/>
  <c r="C2874" i="1"/>
  <c r="D2874" i="1"/>
  <c r="C2875" i="1"/>
  <c r="D2875" i="1"/>
  <c r="C2876" i="1"/>
  <c r="D2876" i="1"/>
  <c r="C2877" i="1"/>
  <c r="D2877" i="1"/>
  <c r="C2878" i="1"/>
  <c r="D2878" i="1"/>
  <c r="C2879" i="1"/>
  <c r="D2879" i="1"/>
  <c r="C2880" i="1"/>
  <c r="D2880" i="1"/>
  <c r="C2881" i="1"/>
  <c r="D2881" i="1"/>
  <c r="C2882" i="1"/>
  <c r="D2882" i="1"/>
  <c r="C2883" i="1"/>
  <c r="D2883" i="1"/>
  <c r="C2884" i="1"/>
  <c r="D2884" i="1"/>
  <c r="C2885" i="1"/>
  <c r="D2885" i="1"/>
  <c r="C2886" i="1"/>
  <c r="D2886" i="1"/>
  <c r="C2887" i="1"/>
  <c r="D2887" i="1"/>
  <c r="C2888" i="1"/>
  <c r="D2888" i="1"/>
  <c r="C2889" i="1"/>
  <c r="D2889" i="1"/>
  <c r="C2890" i="1"/>
  <c r="D2890" i="1"/>
  <c r="C2891" i="1"/>
  <c r="D2891" i="1"/>
  <c r="C2892" i="1"/>
  <c r="D2892" i="1"/>
  <c r="C2893" i="1"/>
  <c r="D2893" i="1"/>
  <c r="C2894" i="1"/>
  <c r="D2894" i="1"/>
  <c r="C2895" i="1"/>
  <c r="D2895" i="1"/>
  <c r="C2896" i="1"/>
  <c r="D2896" i="1"/>
  <c r="C2897" i="1"/>
  <c r="D2897" i="1"/>
  <c r="C2898" i="1"/>
  <c r="D2898" i="1"/>
  <c r="C2899" i="1"/>
  <c r="D2899" i="1"/>
  <c r="C2900" i="1"/>
  <c r="D2900" i="1"/>
  <c r="C2901" i="1"/>
  <c r="D2901" i="1"/>
  <c r="C2902" i="1"/>
  <c r="D2902" i="1"/>
  <c r="C2903" i="1"/>
  <c r="D2903" i="1"/>
  <c r="C2904" i="1"/>
  <c r="D2904" i="1"/>
  <c r="C2905" i="1"/>
  <c r="D2905" i="1"/>
  <c r="C2906" i="1"/>
  <c r="D2906" i="1"/>
  <c r="C2907" i="1"/>
  <c r="D2907" i="1"/>
  <c r="C2908" i="1"/>
  <c r="D2908" i="1"/>
  <c r="C2909" i="1"/>
  <c r="D2909" i="1"/>
  <c r="C2910" i="1"/>
  <c r="D2910" i="1"/>
  <c r="C2911" i="1"/>
  <c r="D2911" i="1"/>
  <c r="C2912" i="1"/>
  <c r="D2912" i="1"/>
  <c r="C2913" i="1"/>
  <c r="D2913" i="1"/>
  <c r="C2914" i="1"/>
  <c r="D2914" i="1"/>
  <c r="C2915" i="1"/>
  <c r="D2915" i="1"/>
  <c r="C2916" i="1"/>
  <c r="D2916" i="1"/>
  <c r="C2917" i="1"/>
  <c r="D2917" i="1"/>
  <c r="C2918" i="1"/>
  <c r="D2918" i="1"/>
  <c r="C2919" i="1"/>
  <c r="D2919" i="1"/>
  <c r="C2920" i="1"/>
  <c r="D2920" i="1"/>
  <c r="C2921" i="1"/>
  <c r="D2921" i="1"/>
  <c r="C2922" i="1"/>
  <c r="D2922" i="1"/>
  <c r="C2923" i="1"/>
  <c r="D2923" i="1"/>
  <c r="C2924" i="1"/>
  <c r="D2924" i="1"/>
  <c r="C2925" i="1"/>
  <c r="D2925" i="1"/>
  <c r="C2926" i="1"/>
  <c r="D2926" i="1"/>
  <c r="C2927" i="1"/>
  <c r="D2927" i="1"/>
  <c r="C2928" i="1"/>
  <c r="D2928" i="1"/>
  <c r="C2929" i="1"/>
  <c r="D2929" i="1"/>
  <c r="C2930" i="1"/>
  <c r="D2930" i="1"/>
  <c r="C2931" i="1"/>
  <c r="D2931" i="1"/>
  <c r="C2932" i="1"/>
  <c r="D2932" i="1"/>
  <c r="C2933" i="1"/>
  <c r="D2933" i="1"/>
  <c r="C2934" i="1"/>
  <c r="D2934" i="1"/>
  <c r="C2935" i="1"/>
  <c r="D2935" i="1"/>
  <c r="C2936" i="1"/>
  <c r="D2936" i="1"/>
  <c r="C2937" i="1"/>
  <c r="D2937" i="1"/>
  <c r="C2938" i="1"/>
  <c r="D2938" i="1"/>
  <c r="C2939" i="1"/>
  <c r="D2939" i="1"/>
  <c r="C2940" i="1"/>
  <c r="D2940" i="1"/>
  <c r="C2941" i="1"/>
  <c r="D2941" i="1"/>
  <c r="C2942" i="1"/>
  <c r="D2942" i="1"/>
  <c r="C2943" i="1"/>
  <c r="D2943" i="1"/>
  <c r="C2944" i="1"/>
  <c r="D2944" i="1"/>
  <c r="C2945" i="1"/>
  <c r="D2945" i="1"/>
  <c r="C2946" i="1"/>
  <c r="D2946" i="1"/>
  <c r="C2947" i="1"/>
  <c r="D2947" i="1"/>
  <c r="C2948" i="1"/>
  <c r="D2948" i="1"/>
  <c r="C2949" i="1"/>
  <c r="D2949" i="1"/>
  <c r="C2950" i="1"/>
  <c r="D2950" i="1"/>
  <c r="C2951" i="1"/>
  <c r="D2951" i="1"/>
  <c r="C2952" i="1"/>
  <c r="D2952" i="1"/>
  <c r="C2953" i="1"/>
  <c r="D2953" i="1"/>
  <c r="C2954" i="1"/>
  <c r="D2954" i="1"/>
  <c r="C2955" i="1"/>
  <c r="D2955" i="1"/>
  <c r="C2956" i="1"/>
  <c r="D2956" i="1"/>
  <c r="C2957" i="1"/>
  <c r="D2957" i="1"/>
  <c r="C2958" i="1"/>
  <c r="D2958" i="1"/>
  <c r="C2959" i="1"/>
  <c r="D2959" i="1"/>
  <c r="C2960" i="1"/>
  <c r="D2960" i="1"/>
  <c r="C2961" i="1"/>
  <c r="D2961" i="1"/>
  <c r="C2962" i="1"/>
  <c r="D2962" i="1"/>
  <c r="C2963" i="1"/>
  <c r="D2963" i="1"/>
  <c r="C2964" i="1"/>
  <c r="D2964" i="1"/>
  <c r="C2965" i="1"/>
  <c r="D2965" i="1"/>
  <c r="C2966" i="1"/>
  <c r="D2966" i="1"/>
  <c r="C2967" i="1"/>
  <c r="D2967" i="1"/>
  <c r="C2968" i="1"/>
  <c r="D2968" i="1"/>
  <c r="C2969" i="1"/>
  <c r="D2969" i="1"/>
  <c r="C2970" i="1"/>
  <c r="D2970" i="1"/>
  <c r="C2971" i="1"/>
  <c r="D2971" i="1"/>
  <c r="C2972" i="1"/>
  <c r="D2972" i="1"/>
  <c r="C2973" i="1"/>
  <c r="D2973" i="1"/>
  <c r="C2974" i="1"/>
  <c r="D2974" i="1"/>
  <c r="C2975" i="1"/>
  <c r="D2975" i="1"/>
  <c r="C2976" i="1"/>
  <c r="D2976" i="1"/>
  <c r="C2977" i="1"/>
  <c r="D2977" i="1"/>
  <c r="C2978" i="1"/>
  <c r="D2978" i="1"/>
  <c r="C2979" i="1"/>
  <c r="D2979" i="1"/>
  <c r="C2980" i="1"/>
  <c r="D2980" i="1"/>
  <c r="C2981" i="1"/>
  <c r="D2981" i="1"/>
  <c r="C2982" i="1"/>
  <c r="D2982" i="1"/>
  <c r="C2983" i="1"/>
  <c r="D2983" i="1"/>
  <c r="C2984" i="1"/>
  <c r="D2984" i="1"/>
  <c r="C2985" i="1"/>
  <c r="D2985" i="1"/>
  <c r="C2986" i="1"/>
  <c r="D2986" i="1"/>
  <c r="C2987" i="1"/>
  <c r="D2987" i="1"/>
  <c r="C2988" i="1"/>
  <c r="D2988" i="1"/>
  <c r="C2989" i="1"/>
  <c r="D2989" i="1"/>
  <c r="C2990" i="1"/>
  <c r="D2990" i="1"/>
  <c r="C2991" i="1"/>
  <c r="D2991" i="1"/>
  <c r="C2992" i="1"/>
  <c r="D2992" i="1"/>
  <c r="C2993" i="1"/>
  <c r="D2993" i="1"/>
  <c r="C2994" i="1"/>
  <c r="D2994" i="1"/>
  <c r="C2995" i="1"/>
  <c r="D2995" i="1"/>
  <c r="C2996" i="1"/>
  <c r="D2996" i="1"/>
  <c r="C2997" i="1"/>
  <c r="D2997" i="1"/>
  <c r="C2998" i="1"/>
  <c r="D2998" i="1"/>
  <c r="C2999" i="1"/>
  <c r="D2999" i="1"/>
  <c r="C3000" i="1"/>
  <c r="D3000" i="1"/>
  <c r="C3001" i="1"/>
  <c r="D3001" i="1"/>
  <c r="C3002" i="1"/>
  <c r="D3002" i="1"/>
  <c r="C3003" i="1"/>
  <c r="D3003" i="1"/>
  <c r="C3004" i="1"/>
  <c r="D3004" i="1"/>
  <c r="C3005" i="1"/>
  <c r="D3005" i="1"/>
  <c r="C3006" i="1"/>
  <c r="D3006" i="1"/>
  <c r="C3007" i="1"/>
  <c r="D3007" i="1"/>
  <c r="C3008" i="1"/>
  <c r="D3008" i="1"/>
  <c r="C3009" i="1"/>
  <c r="D3009" i="1"/>
  <c r="C3010" i="1"/>
  <c r="D3010" i="1"/>
  <c r="C3011" i="1"/>
  <c r="D3011" i="1"/>
  <c r="C3012" i="1"/>
  <c r="D3012" i="1"/>
  <c r="C3013" i="1"/>
  <c r="D3013" i="1"/>
  <c r="C3014" i="1"/>
  <c r="D3014" i="1"/>
  <c r="C3015" i="1"/>
  <c r="D3015" i="1"/>
  <c r="C3016" i="1"/>
  <c r="D3016" i="1"/>
  <c r="C3017" i="1"/>
  <c r="D3017" i="1"/>
  <c r="C3018" i="1"/>
  <c r="D3018" i="1"/>
  <c r="C3019" i="1"/>
  <c r="D3019" i="1"/>
  <c r="C3020" i="1"/>
  <c r="D3020" i="1"/>
  <c r="C3021" i="1"/>
  <c r="D3021" i="1"/>
  <c r="C3022" i="1"/>
  <c r="D3022" i="1"/>
  <c r="C3023" i="1"/>
  <c r="D3023" i="1"/>
  <c r="C3024" i="1"/>
  <c r="D3024" i="1"/>
  <c r="C3025" i="1"/>
  <c r="D3025" i="1"/>
  <c r="C3026" i="1"/>
  <c r="D3026" i="1"/>
  <c r="C3027" i="1"/>
  <c r="D3027" i="1"/>
  <c r="C3028" i="1"/>
  <c r="D3028" i="1"/>
  <c r="C3029" i="1"/>
  <c r="D3029" i="1"/>
  <c r="C3030" i="1"/>
  <c r="D3030" i="1"/>
  <c r="C3031" i="1"/>
  <c r="D3031" i="1"/>
  <c r="C3032" i="1"/>
  <c r="D3032" i="1"/>
  <c r="C3033" i="1"/>
  <c r="D3033" i="1"/>
  <c r="C3034" i="1"/>
  <c r="D3034" i="1"/>
  <c r="C3035" i="1"/>
  <c r="D3035" i="1"/>
  <c r="C3036" i="1"/>
  <c r="D3036" i="1"/>
  <c r="C3037" i="1"/>
  <c r="D3037" i="1"/>
  <c r="C3038" i="1"/>
  <c r="D3038" i="1"/>
  <c r="C3039" i="1"/>
  <c r="D3039" i="1"/>
  <c r="C3040" i="1"/>
  <c r="D3040" i="1"/>
  <c r="C3041" i="1"/>
  <c r="D3041" i="1"/>
  <c r="C3042" i="1"/>
  <c r="D3042" i="1"/>
  <c r="C3043" i="1"/>
  <c r="D3043" i="1"/>
  <c r="C3044" i="1"/>
  <c r="D3044" i="1"/>
  <c r="C3045" i="1"/>
  <c r="D3045" i="1"/>
  <c r="C3046" i="1"/>
  <c r="D3046" i="1"/>
  <c r="C3047" i="1"/>
  <c r="D3047" i="1"/>
  <c r="C3048" i="1"/>
  <c r="D3048" i="1"/>
  <c r="C3049" i="1"/>
  <c r="D3049" i="1"/>
  <c r="C3050" i="1"/>
  <c r="D3050" i="1"/>
  <c r="C3051" i="1"/>
  <c r="D3051" i="1"/>
  <c r="C3052" i="1"/>
  <c r="D3052" i="1"/>
  <c r="C3053" i="1"/>
  <c r="D3053" i="1"/>
  <c r="C3054" i="1"/>
  <c r="D3054" i="1"/>
  <c r="C3055" i="1"/>
  <c r="D3055" i="1"/>
  <c r="C3056" i="1"/>
  <c r="D3056" i="1"/>
  <c r="C3057" i="1"/>
  <c r="D3057" i="1"/>
  <c r="C3058" i="1"/>
  <c r="D3058" i="1"/>
  <c r="C3059" i="1"/>
  <c r="D3059" i="1"/>
  <c r="C3060" i="1"/>
  <c r="D3060" i="1"/>
  <c r="C3061" i="1"/>
  <c r="D3061" i="1"/>
  <c r="C3062" i="1"/>
  <c r="D3062" i="1"/>
  <c r="C3063" i="1"/>
  <c r="D3063" i="1"/>
  <c r="C3064" i="1"/>
  <c r="D3064" i="1"/>
  <c r="C3065" i="1"/>
  <c r="D3065" i="1"/>
  <c r="C3066" i="1"/>
  <c r="D3066" i="1"/>
  <c r="C3067" i="1"/>
  <c r="D3067" i="1"/>
  <c r="C3068" i="1"/>
  <c r="D3068" i="1"/>
  <c r="C3069" i="1"/>
  <c r="D3069" i="1"/>
  <c r="C3070" i="1"/>
  <c r="D3070" i="1"/>
  <c r="C3071" i="1"/>
  <c r="D3071" i="1"/>
  <c r="C3072" i="1"/>
  <c r="D3072" i="1"/>
  <c r="C3073" i="1"/>
  <c r="D3073" i="1"/>
  <c r="C3074" i="1"/>
  <c r="D3074" i="1"/>
  <c r="C3075" i="1"/>
  <c r="D3075" i="1"/>
  <c r="C3076" i="1"/>
  <c r="D3076" i="1"/>
  <c r="C3077" i="1"/>
  <c r="D3077" i="1"/>
  <c r="C3078" i="1"/>
  <c r="D3078" i="1"/>
  <c r="C3079" i="1"/>
  <c r="D3079" i="1"/>
  <c r="C3080" i="1"/>
  <c r="D3080" i="1"/>
  <c r="C3081" i="1"/>
  <c r="D3081" i="1"/>
  <c r="C3082" i="1"/>
  <c r="D3082" i="1"/>
  <c r="C3083" i="1"/>
  <c r="D3083" i="1"/>
  <c r="C3084" i="1"/>
  <c r="D3084" i="1"/>
  <c r="C3085" i="1"/>
  <c r="D3085" i="1"/>
  <c r="C3086" i="1"/>
  <c r="D3086" i="1"/>
  <c r="C3087" i="1"/>
  <c r="D3087" i="1"/>
  <c r="C3088" i="1"/>
  <c r="D3088" i="1"/>
  <c r="C3089" i="1"/>
  <c r="D3089" i="1"/>
  <c r="C3090" i="1"/>
  <c r="D3090" i="1"/>
  <c r="C3091" i="1"/>
  <c r="D3091" i="1"/>
  <c r="C3092" i="1"/>
  <c r="D3092" i="1"/>
  <c r="C3093" i="1"/>
  <c r="D3093" i="1"/>
  <c r="C3094" i="1"/>
  <c r="D3094" i="1"/>
  <c r="C3095" i="1"/>
  <c r="D3095" i="1"/>
  <c r="C3096" i="1"/>
  <c r="D3096" i="1"/>
  <c r="C3097" i="1"/>
  <c r="D3097" i="1"/>
  <c r="C3098" i="1"/>
  <c r="D3098" i="1"/>
  <c r="C3099" i="1"/>
  <c r="D3099" i="1"/>
  <c r="C3100" i="1"/>
  <c r="D3100" i="1"/>
  <c r="C3101" i="1"/>
  <c r="D3101" i="1"/>
  <c r="C3102" i="1"/>
  <c r="D3102" i="1"/>
  <c r="C3103" i="1"/>
  <c r="D3103" i="1"/>
  <c r="C3104" i="1"/>
  <c r="D3104" i="1"/>
  <c r="C3105" i="1"/>
  <c r="D3105" i="1"/>
  <c r="C3106" i="1"/>
  <c r="D3106" i="1"/>
  <c r="C3107" i="1"/>
  <c r="D3107" i="1"/>
  <c r="C3108" i="1"/>
  <c r="D3108" i="1"/>
  <c r="C3109" i="1"/>
  <c r="D3109" i="1"/>
  <c r="C3110" i="1"/>
  <c r="D3110" i="1"/>
  <c r="C3111" i="1"/>
  <c r="D3111" i="1"/>
  <c r="C3112" i="1"/>
  <c r="D3112" i="1"/>
  <c r="C3113" i="1"/>
  <c r="D3113" i="1"/>
  <c r="C3114" i="1"/>
  <c r="D3114" i="1"/>
  <c r="C3115" i="1"/>
  <c r="D3115" i="1"/>
  <c r="C3116" i="1"/>
  <c r="D3116" i="1"/>
  <c r="C3117" i="1"/>
  <c r="D3117" i="1"/>
  <c r="C3118" i="1"/>
  <c r="D3118" i="1"/>
  <c r="C3119" i="1"/>
  <c r="D3119" i="1"/>
  <c r="C3120" i="1"/>
  <c r="D3120" i="1"/>
  <c r="C3121" i="1"/>
  <c r="D3121" i="1"/>
  <c r="C3122" i="1"/>
  <c r="D3122" i="1"/>
  <c r="C3123" i="1"/>
  <c r="D3123" i="1"/>
  <c r="C3124" i="1"/>
  <c r="D3124" i="1"/>
  <c r="C3125" i="1"/>
  <c r="D3125" i="1"/>
  <c r="C3126" i="1"/>
  <c r="D3126" i="1"/>
  <c r="C3127" i="1"/>
  <c r="D3127" i="1"/>
  <c r="C3128" i="1"/>
  <c r="D3128" i="1"/>
  <c r="C3129" i="1"/>
  <c r="D3129" i="1"/>
  <c r="C3130" i="1"/>
  <c r="D3130" i="1"/>
  <c r="C3131" i="1"/>
  <c r="D3131" i="1"/>
  <c r="C3132" i="1"/>
  <c r="D3132" i="1"/>
  <c r="C3133" i="1"/>
  <c r="D3133" i="1"/>
  <c r="C3134" i="1"/>
  <c r="D3134" i="1"/>
  <c r="C3135" i="1"/>
  <c r="D3135" i="1"/>
  <c r="C3136" i="1"/>
  <c r="D3136" i="1"/>
  <c r="C3137" i="1"/>
  <c r="D3137" i="1"/>
  <c r="C3138" i="1"/>
  <c r="D3138" i="1"/>
  <c r="C3139" i="1"/>
  <c r="D3139" i="1"/>
  <c r="C3140" i="1"/>
  <c r="D3140" i="1"/>
  <c r="C3141" i="1"/>
  <c r="D3141" i="1"/>
  <c r="C3142" i="1"/>
  <c r="D3142" i="1"/>
  <c r="C3143" i="1"/>
  <c r="D3143" i="1"/>
  <c r="C3144" i="1"/>
  <c r="D3144" i="1"/>
  <c r="C3145" i="1"/>
  <c r="D3145" i="1"/>
  <c r="C3146" i="1"/>
  <c r="D3146" i="1"/>
  <c r="C3147" i="1"/>
  <c r="D3147" i="1"/>
  <c r="C3148" i="1"/>
  <c r="D3148" i="1"/>
  <c r="C3149" i="1"/>
  <c r="D3149" i="1"/>
  <c r="C3150" i="1"/>
  <c r="D3150" i="1"/>
  <c r="C3151" i="1"/>
  <c r="D3151" i="1"/>
  <c r="C3152" i="1"/>
  <c r="D3152" i="1"/>
  <c r="C3153" i="1"/>
  <c r="D3153" i="1"/>
  <c r="C3154" i="1"/>
  <c r="D3154" i="1"/>
  <c r="C3155" i="1"/>
  <c r="D3155" i="1"/>
  <c r="C3156" i="1"/>
  <c r="D3156" i="1"/>
  <c r="C3157" i="1"/>
  <c r="D3157" i="1"/>
  <c r="C3158" i="1"/>
  <c r="D3158" i="1"/>
  <c r="C3159" i="1"/>
  <c r="D3159" i="1"/>
  <c r="C3160" i="1"/>
  <c r="D3160" i="1"/>
  <c r="C3161" i="1"/>
  <c r="D3161" i="1"/>
  <c r="C3162" i="1"/>
  <c r="D3162" i="1"/>
  <c r="C3163" i="1"/>
  <c r="D3163" i="1"/>
  <c r="C3164" i="1"/>
  <c r="D3164" i="1"/>
  <c r="C3165" i="1"/>
  <c r="D3165" i="1"/>
  <c r="C3166" i="1"/>
  <c r="D3166" i="1"/>
  <c r="C3167" i="1"/>
  <c r="D3167" i="1"/>
  <c r="C3168" i="1"/>
  <c r="D3168" i="1"/>
  <c r="C3169" i="1"/>
  <c r="D3169" i="1"/>
  <c r="C3170" i="1"/>
  <c r="D3170" i="1"/>
  <c r="C3171" i="1"/>
  <c r="D3171" i="1"/>
  <c r="C3172" i="1"/>
  <c r="D3172" i="1"/>
  <c r="C3173" i="1"/>
  <c r="D3173" i="1"/>
  <c r="C3174" i="1"/>
  <c r="D3174" i="1"/>
  <c r="C3175" i="1"/>
  <c r="D3175" i="1"/>
  <c r="C3176" i="1"/>
  <c r="D3176" i="1"/>
  <c r="C3177" i="1"/>
  <c r="D3177" i="1"/>
  <c r="C3178" i="1"/>
  <c r="D3178" i="1"/>
  <c r="C3179" i="1"/>
  <c r="D3179" i="1"/>
  <c r="C3180" i="1"/>
  <c r="D3180" i="1"/>
  <c r="C3181" i="1"/>
  <c r="D3181" i="1"/>
  <c r="C3182" i="1"/>
  <c r="D3182" i="1"/>
  <c r="C3183" i="1"/>
  <c r="D3183" i="1"/>
  <c r="C3184" i="1"/>
  <c r="D3184" i="1"/>
  <c r="C3185" i="1"/>
  <c r="D3185" i="1"/>
  <c r="C3186" i="1"/>
  <c r="D3186" i="1"/>
  <c r="C3187" i="1"/>
  <c r="D3187" i="1"/>
  <c r="C3188" i="1"/>
  <c r="D3188" i="1"/>
  <c r="C3189" i="1"/>
  <c r="D3189" i="1"/>
  <c r="C3190" i="1"/>
  <c r="D3190" i="1"/>
  <c r="C3191" i="1"/>
  <c r="D3191" i="1"/>
  <c r="C3192" i="1"/>
  <c r="D3192" i="1"/>
  <c r="C3193" i="1"/>
  <c r="D3193" i="1"/>
  <c r="C3194" i="1"/>
  <c r="D3194" i="1"/>
  <c r="C3195" i="1"/>
  <c r="D3195" i="1"/>
  <c r="C3196" i="1"/>
  <c r="D3196" i="1"/>
  <c r="C3197" i="1"/>
  <c r="D3197" i="1"/>
  <c r="C3198" i="1"/>
  <c r="D3198" i="1"/>
  <c r="C3199" i="1"/>
  <c r="D3199" i="1"/>
  <c r="C3200" i="1"/>
  <c r="D3200" i="1"/>
  <c r="C3201" i="1"/>
  <c r="D3201" i="1"/>
  <c r="C3202" i="1"/>
  <c r="D3202" i="1"/>
  <c r="C3203" i="1"/>
  <c r="D3203" i="1"/>
  <c r="C3204" i="1"/>
  <c r="D3204" i="1"/>
  <c r="C3205" i="1"/>
  <c r="D3205" i="1"/>
  <c r="C3206" i="1"/>
  <c r="D3206" i="1"/>
  <c r="C3207" i="1"/>
  <c r="D3207" i="1"/>
  <c r="C3208" i="1"/>
  <c r="D3208" i="1"/>
  <c r="C3209" i="1"/>
  <c r="D3209" i="1"/>
  <c r="C3210" i="1"/>
  <c r="D3210" i="1"/>
  <c r="C3211" i="1"/>
  <c r="D3211" i="1"/>
  <c r="C3212" i="1"/>
  <c r="D3212" i="1"/>
  <c r="C3213" i="1"/>
  <c r="D3213" i="1"/>
  <c r="C3214" i="1"/>
  <c r="D3214" i="1"/>
  <c r="C3215" i="1"/>
  <c r="D3215" i="1"/>
  <c r="C3216" i="1"/>
  <c r="D3216" i="1"/>
  <c r="C3217" i="1"/>
  <c r="D3217" i="1"/>
  <c r="C3218" i="1"/>
  <c r="D3218" i="1"/>
  <c r="C3219" i="1"/>
  <c r="D3219" i="1"/>
  <c r="C3220" i="1"/>
  <c r="D3220" i="1"/>
  <c r="C3221" i="1"/>
  <c r="D3221" i="1"/>
  <c r="C3222" i="1"/>
  <c r="D3222" i="1"/>
  <c r="C3223" i="1"/>
  <c r="D3223" i="1"/>
  <c r="C3224" i="1"/>
  <c r="D3224" i="1"/>
  <c r="C3225" i="1"/>
  <c r="D3225" i="1"/>
  <c r="C3226" i="1"/>
  <c r="D3226" i="1"/>
  <c r="C3227" i="1"/>
  <c r="D3227" i="1"/>
  <c r="C3228" i="1"/>
  <c r="D3228" i="1"/>
  <c r="C3229" i="1"/>
  <c r="D3229" i="1"/>
  <c r="C3230" i="1"/>
  <c r="D3230" i="1"/>
  <c r="C3231" i="1"/>
  <c r="D3231" i="1"/>
  <c r="C3232" i="1"/>
  <c r="D3232" i="1"/>
  <c r="C3233" i="1"/>
  <c r="D3233" i="1"/>
  <c r="C3234" i="1"/>
  <c r="D3234" i="1"/>
  <c r="C3235" i="1"/>
  <c r="D3235" i="1"/>
  <c r="C3236" i="1"/>
  <c r="D3236" i="1"/>
  <c r="C3237" i="1"/>
  <c r="D3237" i="1"/>
  <c r="C3238" i="1"/>
  <c r="D3238" i="1"/>
  <c r="C3239" i="1"/>
  <c r="D3239" i="1"/>
  <c r="C3240" i="1"/>
  <c r="D3240" i="1"/>
  <c r="C3241" i="1"/>
  <c r="D3241" i="1"/>
  <c r="C3242" i="1"/>
  <c r="D3242" i="1"/>
  <c r="C3243" i="1"/>
  <c r="D3243" i="1"/>
  <c r="C3244" i="1"/>
  <c r="D3244" i="1"/>
  <c r="C3245" i="1"/>
  <c r="D3245" i="1"/>
  <c r="C3246" i="1"/>
  <c r="D3246" i="1"/>
  <c r="C3247" i="1"/>
  <c r="D3247" i="1"/>
  <c r="C3248" i="1"/>
  <c r="D3248" i="1"/>
  <c r="C3249" i="1"/>
  <c r="D3249" i="1"/>
  <c r="C3250" i="1"/>
  <c r="D3250" i="1"/>
  <c r="C3251" i="1"/>
  <c r="D3251" i="1"/>
  <c r="C3252" i="1"/>
  <c r="D3252" i="1"/>
  <c r="C3253" i="1"/>
  <c r="D3253" i="1"/>
  <c r="C3254" i="1"/>
  <c r="D3254" i="1"/>
  <c r="C3255" i="1"/>
  <c r="D3255" i="1"/>
  <c r="C3256" i="1"/>
  <c r="D3256" i="1"/>
  <c r="C3257" i="1"/>
  <c r="D3257" i="1"/>
  <c r="C3258" i="1"/>
  <c r="D3258" i="1"/>
  <c r="C3259" i="1"/>
  <c r="D3259" i="1"/>
  <c r="C3260" i="1"/>
  <c r="D3260" i="1"/>
  <c r="C3261" i="1"/>
  <c r="D3261" i="1"/>
  <c r="C3262" i="1"/>
  <c r="D3262" i="1"/>
  <c r="C3263" i="1"/>
  <c r="D3263" i="1"/>
  <c r="C3264" i="1"/>
  <c r="D3264" i="1"/>
  <c r="C3265" i="1"/>
  <c r="D3265" i="1"/>
  <c r="C3266" i="1"/>
  <c r="D3266" i="1"/>
  <c r="C3267" i="1"/>
  <c r="D3267" i="1"/>
  <c r="C3268" i="1"/>
  <c r="D3268" i="1"/>
  <c r="C3269" i="1"/>
  <c r="D3269" i="1"/>
  <c r="C3270" i="1"/>
  <c r="D3270" i="1"/>
  <c r="C3271" i="1"/>
  <c r="D3271" i="1"/>
  <c r="C3272" i="1"/>
  <c r="D3272" i="1"/>
  <c r="C3273" i="1"/>
  <c r="D3273" i="1"/>
  <c r="C3274" i="1"/>
  <c r="D3274" i="1"/>
  <c r="C3275" i="1"/>
  <c r="D3275" i="1"/>
  <c r="C3276" i="1"/>
  <c r="D3276" i="1"/>
  <c r="C3277" i="1"/>
  <c r="D3277" i="1"/>
  <c r="C3278" i="1"/>
  <c r="D3278" i="1"/>
  <c r="C3279" i="1"/>
  <c r="D3279" i="1"/>
  <c r="C3280" i="1"/>
  <c r="D3280" i="1"/>
  <c r="C3281" i="1"/>
  <c r="D3281" i="1"/>
  <c r="C3282" i="1"/>
  <c r="D3282" i="1"/>
  <c r="C3283" i="1"/>
  <c r="D3283" i="1"/>
  <c r="C3284" i="1"/>
  <c r="D3284" i="1"/>
  <c r="C3285" i="1"/>
  <c r="D3285" i="1"/>
  <c r="C3286" i="1"/>
  <c r="D3286" i="1"/>
  <c r="C3287" i="1"/>
  <c r="D3287" i="1"/>
  <c r="C3288" i="1"/>
  <c r="D3288" i="1"/>
  <c r="C3289" i="1"/>
  <c r="D3289" i="1"/>
  <c r="C3290" i="1"/>
  <c r="D3290" i="1"/>
  <c r="C3291" i="1"/>
  <c r="D3291" i="1"/>
  <c r="C3292" i="1"/>
  <c r="D3292" i="1"/>
  <c r="C3293" i="1"/>
  <c r="D3293" i="1"/>
  <c r="C3294" i="1"/>
  <c r="D3294" i="1"/>
  <c r="C3295" i="1"/>
  <c r="D3295" i="1"/>
  <c r="C3296" i="1"/>
  <c r="D3296" i="1"/>
  <c r="C3297" i="1"/>
  <c r="D3297" i="1"/>
  <c r="C3298" i="1"/>
  <c r="D3298" i="1"/>
  <c r="C3299" i="1"/>
  <c r="D3299" i="1"/>
  <c r="C3300" i="1"/>
  <c r="D3300" i="1"/>
  <c r="C3301" i="1"/>
  <c r="D3301" i="1"/>
  <c r="C3302" i="1"/>
  <c r="D3302" i="1"/>
  <c r="C3303" i="1"/>
  <c r="D3303" i="1"/>
  <c r="C3304" i="1"/>
  <c r="D3304" i="1"/>
  <c r="C3305" i="1"/>
  <c r="D3305" i="1"/>
  <c r="C3306" i="1"/>
  <c r="D3306" i="1"/>
  <c r="C3307" i="1"/>
  <c r="D3307" i="1"/>
  <c r="C3308" i="1"/>
  <c r="D3308" i="1"/>
  <c r="C3309" i="1"/>
  <c r="D3309" i="1"/>
  <c r="C3310" i="1"/>
  <c r="D3310" i="1"/>
  <c r="C3311" i="1"/>
  <c r="D3311" i="1"/>
  <c r="C3312" i="1"/>
  <c r="D3312" i="1"/>
  <c r="C3313" i="1"/>
  <c r="D3313" i="1"/>
  <c r="C3314" i="1"/>
  <c r="D3314" i="1"/>
  <c r="C3315" i="1"/>
  <c r="D3315" i="1"/>
  <c r="C3316" i="1"/>
  <c r="D3316" i="1"/>
  <c r="C3317" i="1"/>
  <c r="D3317" i="1"/>
  <c r="C3318" i="1"/>
  <c r="D3318" i="1"/>
  <c r="C3319" i="1"/>
  <c r="D3319" i="1"/>
  <c r="C3320" i="1"/>
  <c r="D3320" i="1"/>
  <c r="C3321" i="1"/>
  <c r="D3321" i="1"/>
  <c r="C3322" i="1"/>
  <c r="D3322" i="1"/>
  <c r="C3323" i="1"/>
  <c r="D3323" i="1"/>
  <c r="C3324" i="1"/>
  <c r="D3324" i="1"/>
  <c r="C3325" i="1"/>
  <c r="D3325" i="1"/>
  <c r="C3326" i="1"/>
  <c r="D3326" i="1"/>
  <c r="C3327" i="1"/>
  <c r="D3327" i="1"/>
  <c r="C3328" i="1"/>
  <c r="D3328" i="1"/>
  <c r="C3329" i="1"/>
  <c r="D3329" i="1"/>
  <c r="C3330" i="1"/>
  <c r="D3330" i="1"/>
  <c r="C3331" i="1"/>
  <c r="D3331" i="1"/>
  <c r="C3332" i="1"/>
  <c r="D3332" i="1"/>
  <c r="C3333" i="1"/>
  <c r="D3333" i="1"/>
  <c r="C3334" i="1"/>
  <c r="D3334" i="1"/>
  <c r="C3335" i="1"/>
  <c r="D3335" i="1"/>
  <c r="C3336" i="1"/>
  <c r="D3336" i="1"/>
  <c r="C3337" i="1"/>
  <c r="D3337" i="1"/>
  <c r="C3338" i="1"/>
  <c r="D3338" i="1"/>
  <c r="C3339" i="1"/>
  <c r="D3339" i="1"/>
  <c r="C3340" i="1"/>
  <c r="D3340" i="1"/>
  <c r="C3341" i="1"/>
  <c r="D3341" i="1"/>
  <c r="C3342" i="1"/>
  <c r="D3342" i="1"/>
  <c r="C3343" i="1"/>
  <c r="D3343" i="1"/>
  <c r="C3344" i="1"/>
  <c r="D3344" i="1"/>
  <c r="C3345" i="1"/>
  <c r="D3345" i="1"/>
  <c r="C3346" i="1"/>
  <c r="D3346" i="1"/>
  <c r="C3347" i="1"/>
  <c r="D3347" i="1"/>
  <c r="C3348" i="1"/>
  <c r="D3348" i="1"/>
  <c r="C3349" i="1"/>
  <c r="D3349" i="1"/>
  <c r="C3350" i="1"/>
  <c r="D3350" i="1"/>
  <c r="C3351" i="1"/>
  <c r="D3351" i="1"/>
  <c r="C3352" i="1"/>
  <c r="D3352" i="1"/>
  <c r="C3353" i="1"/>
  <c r="D3353" i="1"/>
  <c r="C3354" i="1"/>
  <c r="D3354" i="1"/>
  <c r="C3355" i="1"/>
  <c r="D3355" i="1"/>
  <c r="C3356" i="1"/>
  <c r="D3356" i="1"/>
  <c r="C3357" i="1"/>
  <c r="D3357" i="1"/>
  <c r="C3358" i="1"/>
  <c r="D3358" i="1"/>
  <c r="C3359" i="1"/>
  <c r="D3359" i="1"/>
  <c r="C3360" i="1"/>
  <c r="D3360" i="1"/>
  <c r="C3361" i="1"/>
  <c r="D3361" i="1"/>
  <c r="C3362" i="1"/>
  <c r="D3362" i="1"/>
  <c r="C3363" i="1"/>
  <c r="D3363" i="1"/>
  <c r="C3364" i="1"/>
  <c r="D3364" i="1"/>
  <c r="C3365" i="1"/>
  <c r="D3365" i="1"/>
  <c r="C3366" i="1"/>
  <c r="D3366" i="1"/>
  <c r="C3367" i="1"/>
  <c r="D3367" i="1"/>
  <c r="C3368" i="1"/>
  <c r="D3368" i="1"/>
  <c r="C3369" i="1"/>
  <c r="D3369" i="1"/>
  <c r="C3370" i="1"/>
  <c r="D3370" i="1"/>
  <c r="C3371" i="1"/>
  <c r="D3371" i="1"/>
  <c r="C3372" i="1"/>
  <c r="D3372" i="1"/>
  <c r="C3373" i="1"/>
  <c r="D3373" i="1"/>
  <c r="C3374" i="1"/>
  <c r="D3374" i="1"/>
  <c r="C3375" i="1"/>
  <c r="D3375" i="1"/>
  <c r="C3376" i="1"/>
  <c r="D3376" i="1"/>
  <c r="C3377" i="1"/>
  <c r="D3377" i="1"/>
  <c r="C3378" i="1"/>
  <c r="D3378" i="1"/>
  <c r="C3379" i="1"/>
  <c r="D3379" i="1"/>
  <c r="C3380" i="1"/>
  <c r="D3380" i="1"/>
  <c r="C3381" i="1"/>
  <c r="D3381" i="1"/>
  <c r="C3382" i="1"/>
  <c r="D3382" i="1"/>
  <c r="C3383" i="1"/>
  <c r="D3383" i="1"/>
  <c r="C3384" i="1"/>
  <c r="D3384" i="1"/>
  <c r="C3385" i="1"/>
  <c r="D3385" i="1"/>
  <c r="C3386" i="1"/>
  <c r="D3386" i="1"/>
  <c r="C3387" i="1"/>
  <c r="D3387" i="1"/>
  <c r="C3388" i="1"/>
  <c r="D3388" i="1"/>
  <c r="C3389" i="1"/>
  <c r="D3389" i="1"/>
  <c r="C3390" i="1"/>
  <c r="D3390" i="1"/>
  <c r="C3391" i="1"/>
  <c r="D3391" i="1"/>
  <c r="C3392" i="1"/>
  <c r="D3392" i="1"/>
  <c r="C3393" i="1"/>
  <c r="D3393" i="1"/>
  <c r="C3394" i="1"/>
  <c r="D3394" i="1"/>
  <c r="C3395" i="1"/>
  <c r="D3395" i="1"/>
  <c r="C3396" i="1"/>
  <c r="D3396" i="1"/>
  <c r="C3397" i="1"/>
  <c r="D3397" i="1"/>
  <c r="C3398" i="1"/>
  <c r="D3398" i="1"/>
  <c r="C3399" i="1"/>
  <c r="D3399" i="1"/>
  <c r="C3400" i="1"/>
  <c r="D3400" i="1"/>
  <c r="C3401" i="1"/>
  <c r="D3401" i="1"/>
  <c r="C3402" i="1"/>
  <c r="D3402" i="1"/>
  <c r="C3403" i="1"/>
  <c r="D3403" i="1"/>
  <c r="C3404" i="1"/>
  <c r="D3404" i="1"/>
  <c r="C3405" i="1"/>
  <c r="D3405" i="1"/>
  <c r="C3406" i="1"/>
  <c r="D3406" i="1"/>
  <c r="C3407" i="1"/>
  <c r="D3407" i="1"/>
  <c r="C3408" i="1"/>
  <c r="D3408" i="1"/>
  <c r="C3409" i="1"/>
  <c r="D3409" i="1"/>
  <c r="C3410" i="1"/>
  <c r="D3410" i="1"/>
  <c r="C3411" i="1"/>
  <c r="D3411" i="1"/>
  <c r="C3412" i="1"/>
  <c r="D3412" i="1"/>
  <c r="C3413" i="1"/>
  <c r="D3413" i="1"/>
  <c r="C3414" i="1"/>
  <c r="D3414" i="1"/>
  <c r="C3415" i="1"/>
  <c r="D3415" i="1"/>
  <c r="C3416" i="1"/>
  <c r="D3416" i="1"/>
  <c r="C3417" i="1"/>
  <c r="D3417" i="1"/>
  <c r="C3418" i="1"/>
  <c r="D3418" i="1"/>
  <c r="C3419" i="1"/>
  <c r="D3419" i="1"/>
  <c r="C3420" i="1"/>
  <c r="D3420" i="1"/>
  <c r="C3421" i="1"/>
  <c r="D3421" i="1"/>
  <c r="C3422" i="1"/>
  <c r="D3422" i="1"/>
  <c r="C3423" i="1"/>
  <c r="D3423" i="1"/>
  <c r="C3424" i="1"/>
  <c r="D3424" i="1"/>
  <c r="C3425" i="1"/>
  <c r="D3425" i="1"/>
  <c r="C3426" i="1"/>
  <c r="D3426" i="1"/>
  <c r="C3427" i="1"/>
  <c r="D3427" i="1"/>
  <c r="C3428" i="1"/>
  <c r="D3428" i="1"/>
  <c r="C3429" i="1"/>
  <c r="D3429" i="1"/>
  <c r="C3430" i="1"/>
  <c r="D3430" i="1"/>
  <c r="C3431" i="1"/>
  <c r="D3431" i="1"/>
  <c r="C3432" i="1"/>
  <c r="D3432" i="1"/>
  <c r="C3433" i="1"/>
  <c r="D3433" i="1"/>
  <c r="C3434" i="1"/>
  <c r="D3434" i="1"/>
  <c r="C3435" i="1"/>
  <c r="D3435" i="1"/>
  <c r="C3436" i="1"/>
  <c r="D3436" i="1"/>
  <c r="C3437" i="1"/>
  <c r="D3437" i="1"/>
  <c r="C3438" i="1"/>
  <c r="D3438" i="1"/>
  <c r="C3439" i="1"/>
  <c r="D3439" i="1"/>
  <c r="C3440" i="1"/>
  <c r="D3440" i="1"/>
  <c r="C3441" i="1"/>
  <c r="D3441" i="1"/>
  <c r="C3442" i="1"/>
  <c r="D3442" i="1"/>
  <c r="C3443" i="1"/>
  <c r="D3443" i="1"/>
  <c r="C3444" i="1"/>
  <c r="D3444" i="1"/>
  <c r="C3445" i="1"/>
  <c r="D3445" i="1"/>
  <c r="C3446" i="1"/>
  <c r="D3446" i="1"/>
  <c r="C3447" i="1"/>
  <c r="D3447" i="1"/>
  <c r="C3448" i="1"/>
  <c r="D3448" i="1"/>
  <c r="C3449" i="1"/>
  <c r="D3449" i="1"/>
  <c r="C3450" i="1"/>
  <c r="D3450" i="1"/>
  <c r="C3451" i="1"/>
  <c r="D3451" i="1"/>
  <c r="C3452" i="1"/>
  <c r="D3452" i="1"/>
  <c r="C3453" i="1"/>
  <c r="D3453" i="1"/>
  <c r="C3454" i="1"/>
  <c r="D3454" i="1"/>
  <c r="C3455" i="1"/>
  <c r="D3455" i="1"/>
  <c r="C3456" i="1"/>
  <c r="D3456" i="1"/>
  <c r="C3457" i="1"/>
  <c r="D3457" i="1"/>
  <c r="C3458" i="1"/>
  <c r="D3458" i="1"/>
  <c r="C3459" i="1"/>
  <c r="D3459" i="1"/>
  <c r="C3460" i="1"/>
  <c r="D3460" i="1"/>
  <c r="C3461" i="1"/>
  <c r="D3461" i="1"/>
  <c r="C3462" i="1"/>
  <c r="D3462" i="1"/>
  <c r="C3463" i="1"/>
  <c r="D3463" i="1"/>
  <c r="C3464" i="1"/>
  <c r="D3464" i="1"/>
  <c r="C3465" i="1"/>
  <c r="D3465" i="1"/>
  <c r="C3466" i="1"/>
  <c r="D3466" i="1"/>
  <c r="C3467" i="1"/>
  <c r="D3467" i="1"/>
  <c r="C3468" i="1"/>
  <c r="D3468" i="1"/>
  <c r="C3469" i="1"/>
  <c r="D3469" i="1"/>
  <c r="C3470" i="1"/>
  <c r="D3470" i="1"/>
  <c r="C3471" i="1"/>
  <c r="D3471" i="1"/>
  <c r="C3472" i="1"/>
  <c r="D3472" i="1"/>
  <c r="C3473" i="1"/>
  <c r="D3473" i="1"/>
  <c r="C3474" i="1"/>
  <c r="D3474" i="1"/>
  <c r="C3475" i="1"/>
  <c r="D3475" i="1"/>
  <c r="C3476" i="1"/>
  <c r="D3476" i="1"/>
  <c r="C3477" i="1"/>
  <c r="D3477" i="1"/>
  <c r="C3478" i="1"/>
  <c r="D3478" i="1"/>
  <c r="C3479" i="1"/>
  <c r="D3479" i="1"/>
  <c r="C3480" i="1"/>
  <c r="D3480" i="1"/>
  <c r="C3481" i="1"/>
  <c r="D3481" i="1"/>
  <c r="C3482" i="1"/>
  <c r="D3482" i="1"/>
  <c r="C3483" i="1"/>
  <c r="D3483" i="1"/>
  <c r="C3484" i="1"/>
  <c r="D3484" i="1"/>
  <c r="C3485" i="1"/>
  <c r="D3485" i="1"/>
  <c r="C3486" i="1"/>
  <c r="D3486" i="1"/>
  <c r="C3487" i="1"/>
  <c r="D3487" i="1"/>
  <c r="C3488" i="1"/>
  <c r="D3488" i="1"/>
  <c r="C3489" i="1"/>
  <c r="D3489" i="1"/>
  <c r="C3490" i="1"/>
  <c r="D3490" i="1"/>
  <c r="C3491" i="1"/>
  <c r="D3491" i="1"/>
  <c r="C3492" i="1"/>
  <c r="D3492" i="1"/>
  <c r="C3493" i="1"/>
  <c r="D3493" i="1"/>
  <c r="C3494" i="1"/>
  <c r="D3494" i="1"/>
  <c r="C3495" i="1"/>
  <c r="D3495" i="1"/>
  <c r="C3496" i="1"/>
  <c r="D3496" i="1"/>
  <c r="C3497" i="1"/>
  <c r="D3497" i="1"/>
  <c r="C3498" i="1"/>
  <c r="D3498" i="1"/>
  <c r="C3499" i="1"/>
  <c r="D3499" i="1"/>
  <c r="C3500" i="1"/>
  <c r="D3500" i="1"/>
  <c r="C3501" i="1"/>
  <c r="D3501" i="1"/>
  <c r="C3502" i="1"/>
  <c r="D3502" i="1"/>
  <c r="C3503" i="1"/>
  <c r="D3503" i="1"/>
  <c r="C3504" i="1"/>
  <c r="D3504" i="1"/>
  <c r="C3505" i="1"/>
  <c r="D3505" i="1"/>
  <c r="C3506" i="1"/>
  <c r="D3506" i="1"/>
  <c r="C3507" i="1"/>
  <c r="D3507" i="1"/>
  <c r="C3508" i="1"/>
  <c r="D3508" i="1"/>
  <c r="C3509" i="1"/>
  <c r="D3509" i="1"/>
  <c r="C3510" i="1"/>
  <c r="D3510" i="1"/>
  <c r="C3511" i="1"/>
  <c r="D3511" i="1"/>
  <c r="C3512" i="1"/>
  <c r="D3512" i="1"/>
  <c r="C3513" i="1"/>
  <c r="D3513" i="1"/>
  <c r="C3514" i="1"/>
  <c r="D3514" i="1"/>
  <c r="C3515" i="1"/>
  <c r="D3515" i="1"/>
  <c r="C3516" i="1"/>
  <c r="D3516" i="1"/>
  <c r="C3517" i="1"/>
  <c r="D3517" i="1"/>
  <c r="C3518" i="1"/>
  <c r="D3518" i="1"/>
  <c r="C3519" i="1"/>
  <c r="D3519" i="1"/>
  <c r="C3520" i="1"/>
  <c r="D3520" i="1"/>
  <c r="C3521" i="1"/>
  <c r="D3521" i="1"/>
  <c r="C3522" i="1"/>
  <c r="D3522" i="1"/>
  <c r="C3523" i="1"/>
  <c r="D3523" i="1"/>
  <c r="C3524" i="1"/>
  <c r="D3524" i="1"/>
  <c r="C3525" i="1"/>
  <c r="D3525" i="1"/>
  <c r="C3526" i="1"/>
  <c r="D3526" i="1"/>
  <c r="C3527" i="1"/>
  <c r="D3527" i="1"/>
  <c r="C3528" i="1"/>
  <c r="D3528" i="1"/>
  <c r="C3529" i="1"/>
  <c r="D3529" i="1"/>
  <c r="C3530" i="1"/>
  <c r="D3530" i="1"/>
  <c r="C3531" i="1"/>
  <c r="D3531" i="1"/>
  <c r="C3532" i="1"/>
  <c r="D3532" i="1"/>
  <c r="C3533" i="1"/>
  <c r="D3533" i="1"/>
  <c r="C3534" i="1"/>
  <c r="D3534" i="1"/>
  <c r="C3535" i="1"/>
  <c r="D3535" i="1"/>
  <c r="C3536" i="1"/>
  <c r="D3536" i="1"/>
  <c r="C3537" i="1"/>
  <c r="D3537" i="1"/>
  <c r="C3538" i="1"/>
  <c r="D3538" i="1"/>
  <c r="C3539" i="1"/>
  <c r="D3539" i="1"/>
  <c r="C3540" i="1"/>
  <c r="D3540" i="1"/>
  <c r="C3541" i="1"/>
  <c r="D3541" i="1"/>
  <c r="C3542" i="1"/>
  <c r="D3542" i="1"/>
  <c r="C3543" i="1"/>
  <c r="D3543" i="1"/>
  <c r="C3544" i="1"/>
  <c r="D3544" i="1"/>
  <c r="C3545" i="1"/>
  <c r="D3545" i="1"/>
  <c r="C3546" i="1"/>
  <c r="D3546" i="1"/>
  <c r="C3547" i="1"/>
  <c r="D3547" i="1"/>
  <c r="C3548" i="1"/>
  <c r="D3548" i="1"/>
  <c r="C3549" i="1"/>
  <c r="D3549" i="1"/>
  <c r="C3550" i="1"/>
  <c r="D3550" i="1"/>
  <c r="C3551" i="1"/>
  <c r="D3551" i="1"/>
  <c r="C3552" i="1"/>
  <c r="D3552" i="1"/>
  <c r="C3553" i="1"/>
  <c r="D3553" i="1"/>
  <c r="C3554" i="1"/>
  <c r="D3554" i="1"/>
  <c r="C3555" i="1"/>
  <c r="D3555" i="1"/>
  <c r="C3556" i="1"/>
  <c r="D3556" i="1"/>
  <c r="C3557" i="1"/>
  <c r="D3557" i="1"/>
  <c r="C3558" i="1"/>
  <c r="D3558" i="1"/>
  <c r="C3559" i="1"/>
  <c r="D3559" i="1"/>
  <c r="C3560" i="1"/>
  <c r="D3560" i="1"/>
  <c r="C3561" i="1"/>
  <c r="D3561" i="1"/>
  <c r="C3562" i="1"/>
  <c r="D3562" i="1"/>
  <c r="C3563" i="1"/>
  <c r="D3563" i="1"/>
  <c r="C3564" i="1"/>
  <c r="D3564" i="1"/>
  <c r="C3565" i="1"/>
  <c r="D3565" i="1"/>
  <c r="C3566" i="1"/>
  <c r="D3566" i="1"/>
  <c r="C3567" i="1"/>
  <c r="D3567" i="1"/>
  <c r="C3568" i="1"/>
  <c r="D3568" i="1"/>
  <c r="C3569" i="1"/>
  <c r="D3569" i="1"/>
  <c r="C3570" i="1"/>
  <c r="D3570" i="1"/>
  <c r="C3571" i="1"/>
  <c r="D3571" i="1"/>
  <c r="C3572" i="1"/>
  <c r="D3572" i="1"/>
  <c r="C3573" i="1"/>
  <c r="D3573" i="1"/>
  <c r="C3574" i="1"/>
  <c r="D3574" i="1"/>
  <c r="C3575" i="1"/>
  <c r="D3575" i="1"/>
  <c r="C3576" i="1"/>
  <c r="D3576" i="1"/>
  <c r="C3577" i="1"/>
  <c r="D3577" i="1"/>
  <c r="C3578" i="1"/>
  <c r="D3578" i="1"/>
  <c r="C3579" i="1"/>
  <c r="D3579" i="1"/>
  <c r="C3580" i="1"/>
  <c r="D3580" i="1"/>
  <c r="C3581" i="1"/>
  <c r="D3581" i="1"/>
  <c r="C3582" i="1"/>
  <c r="D3582" i="1"/>
  <c r="C3583" i="1"/>
  <c r="D3583" i="1"/>
  <c r="C3584" i="1"/>
  <c r="D3584" i="1"/>
  <c r="C3585" i="1"/>
  <c r="D3585" i="1"/>
  <c r="C3586" i="1"/>
  <c r="D3586" i="1"/>
  <c r="C3587" i="1"/>
  <c r="D3587" i="1"/>
  <c r="C3588" i="1"/>
  <c r="D3588" i="1"/>
  <c r="C3589" i="1"/>
  <c r="D3589" i="1"/>
  <c r="C3590" i="1"/>
  <c r="D3590" i="1"/>
  <c r="C3591" i="1"/>
  <c r="D3591" i="1"/>
  <c r="C3592" i="1"/>
  <c r="D3592" i="1"/>
  <c r="C3593" i="1"/>
  <c r="D3593" i="1"/>
  <c r="C3594" i="1"/>
  <c r="D3594" i="1"/>
  <c r="C3595" i="1"/>
  <c r="D3595" i="1"/>
  <c r="C3596" i="1"/>
  <c r="D3596" i="1"/>
  <c r="C3597" i="1"/>
  <c r="D3597" i="1"/>
  <c r="C3598" i="1"/>
  <c r="D3598" i="1"/>
  <c r="C3599" i="1"/>
  <c r="D3599" i="1"/>
  <c r="C3600" i="1"/>
  <c r="D3600" i="1"/>
  <c r="C3601" i="1"/>
  <c r="D3601" i="1"/>
  <c r="C3602" i="1"/>
  <c r="D3602" i="1"/>
  <c r="C3603" i="1"/>
  <c r="D3603" i="1"/>
  <c r="C3604" i="1"/>
  <c r="D3604" i="1"/>
  <c r="C3605" i="1"/>
  <c r="D3605" i="1"/>
  <c r="C3606" i="1"/>
  <c r="D3606" i="1"/>
  <c r="C3607" i="1"/>
  <c r="D3607" i="1"/>
  <c r="C3608" i="1"/>
  <c r="D3608" i="1"/>
  <c r="C3609" i="1"/>
  <c r="D3609" i="1"/>
  <c r="C3610" i="1"/>
  <c r="D3610" i="1"/>
  <c r="C3611" i="1"/>
  <c r="D3611" i="1"/>
  <c r="C3612" i="1"/>
  <c r="D3612" i="1"/>
  <c r="C3613" i="1"/>
  <c r="D3613" i="1"/>
  <c r="C3614" i="1"/>
  <c r="D3614" i="1"/>
  <c r="C3615" i="1"/>
  <c r="D3615" i="1"/>
  <c r="C3616" i="1"/>
  <c r="D3616" i="1"/>
  <c r="C3617" i="1"/>
  <c r="D3617" i="1"/>
  <c r="C3618" i="1"/>
  <c r="D3618" i="1"/>
  <c r="C3619" i="1"/>
  <c r="D3619" i="1"/>
  <c r="C3620" i="1"/>
  <c r="D3620" i="1"/>
  <c r="C3621" i="1"/>
  <c r="D3621" i="1"/>
  <c r="C3622" i="1"/>
  <c r="D3622" i="1"/>
  <c r="C3623" i="1"/>
  <c r="D3623" i="1"/>
  <c r="C3624" i="1"/>
  <c r="D3624" i="1"/>
  <c r="C3625" i="1"/>
  <c r="D3625" i="1"/>
  <c r="C3626" i="1"/>
  <c r="D3626" i="1"/>
  <c r="C3627" i="1"/>
  <c r="D3627" i="1"/>
  <c r="C3628" i="1"/>
  <c r="D3628" i="1"/>
  <c r="C3629" i="1"/>
  <c r="D3629" i="1"/>
  <c r="C3630" i="1"/>
  <c r="D3630" i="1"/>
  <c r="C3631" i="1"/>
  <c r="D3631" i="1"/>
  <c r="C3632" i="1"/>
  <c r="D3632" i="1"/>
  <c r="C3633" i="1"/>
  <c r="D3633" i="1"/>
  <c r="C3634" i="1"/>
  <c r="D3634" i="1"/>
  <c r="C3635" i="1"/>
  <c r="D3635" i="1"/>
  <c r="C3636" i="1"/>
  <c r="D3636" i="1"/>
  <c r="C3637" i="1"/>
  <c r="D3637" i="1"/>
  <c r="C3638" i="1"/>
  <c r="D3638" i="1"/>
  <c r="C3639" i="1"/>
  <c r="D3639" i="1"/>
  <c r="C3640" i="1"/>
  <c r="D3640" i="1"/>
  <c r="C3641" i="1"/>
  <c r="D3641" i="1"/>
  <c r="C3642" i="1"/>
  <c r="D3642" i="1"/>
  <c r="C3643" i="1"/>
  <c r="D3643" i="1"/>
  <c r="C3644" i="1"/>
  <c r="D3644" i="1"/>
  <c r="C3645" i="1"/>
  <c r="D3645" i="1"/>
  <c r="C3646" i="1"/>
  <c r="D3646" i="1"/>
  <c r="C3647" i="1"/>
  <c r="D3647" i="1"/>
  <c r="C3648" i="1"/>
  <c r="D3648" i="1"/>
  <c r="C3649" i="1"/>
  <c r="D3649" i="1"/>
  <c r="C3650" i="1"/>
  <c r="D3650" i="1"/>
  <c r="C3651" i="1"/>
  <c r="D3651" i="1"/>
  <c r="C3652" i="1"/>
  <c r="D3652" i="1"/>
  <c r="C3653" i="1"/>
  <c r="D3653" i="1"/>
  <c r="C3654" i="1"/>
  <c r="D3654" i="1"/>
  <c r="C3655" i="1"/>
  <c r="D3655" i="1"/>
  <c r="C3656" i="1"/>
  <c r="D3656" i="1"/>
  <c r="C3657" i="1"/>
  <c r="D3657" i="1"/>
  <c r="C3658" i="1"/>
  <c r="D3658" i="1"/>
  <c r="C3659" i="1"/>
  <c r="D3659" i="1"/>
  <c r="C3660" i="1"/>
  <c r="D3660" i="1"/>
  <c r="C3661" i="1"/>
  <c r="D3661" i="1"/>
  <c r="C3662" i="1"/>
  <c r="D3662" i="1"/>
  <c r="C3663" i="1"/>
  <c r="D3663" i="1"/>
  <c r="C3664" i="1"/>
  <c r="D3664" i="1"/>
  <c r="C3665" i="1"/>
  <c r="D3665" i="1"/>
  <c r="C3666" i="1"/>
  <c r="D3666" i="1"/>
  <c r="C3667" i="1"/>
  <c r="D3667" i="1"/>
  <c r="C3668" i="1"/>
  <c r="D3668" i="1"/>
  <c r="C3669" i="1"/>
  <c r="D3669" i="1"/>
  <c r="C3670" i="1"/>
  <c r="D3670" i="1"/>
  <c r="C3671" i="1"/>
  <c r="D3671" i="1"/>
  <c r="C3672" i="1"/>
  <c r="D3672" i="1"/>
  <c r="C3673" i="1"/>
  <c r="D3673" i="1"/>
  <c r="C3674" i="1"/>
  <c r="D3674" i="1"/>
  <c r="C3675" i="1"/>
  <c r="D3675" i="1"/>
  <c r="C3676" i="1"/>
  <c r="D3676" i="1"/>
  <c r="C3677" i="1"/>
  <c r="D3677" i="1"/>
  <c r="C3678" i="1"/>
  <c r="D3678" i="1"/>
  <c r="C3679" i="1"/>
  <c r="D3679" i="1"/>
  <c r="C3680" i="1"/>
  <c r="D3680" i="1"/>
  <c r="C3681" i="1"/>
  <c r="D3681" i="1"/>
  <c r="C3682" i="1"/>
  <c r="D3682" i="1"/>
  <c r="C3683" i="1"/>
  <c r="D3683" i="1"/>
  <c r="C3684" i="1"/>
  <c r="D3684" i="1"/>
  <c r="C3685" i="1"/>
  <c r="D3685" i="1"/>
  <c r="C3686" i="1"/>
  <c r="D3686" i="1"/>
  <c r="C3687" i="1"/>
  <c r="D3687" i="1"/>
  <c r="C3688" i="1"/>
  <c r="D3688" i="1"/>
  <c r="C3689" i="1"/>
  <c r="D3689" i="1"/>
  <c r="C3690" i="1"/>
  <c r="D3690" i="1"/>
  <c r="C3691" i="1"/>
  <c r="D3691" i="1"/>
  <c r="C3692" i="1"/>
  <c r="D3692" i="1"/>
  <c r="C3693" i="1"/>
  <c r="D3693" i="1"/>
  <c r="C3694" i="1"/>
  <c r="D3694" i="1"/>
  <c r="C3695" i="1"/>
  <c r="D3695" i="1"/>
  <c r="C3696" i="1"/>
  <c r="D3696" i="1"/>
  <c r="C3697" i="1"/>
  <c r="D3697" i="1"/>
  <c r="C3698" i="1"/>
  <c r="D3698" i="1"/>
  <c r="C3699" i="1"/>
  <c r="D3699" i="1"/>
  <c r="C3700" i="1"/>
  <c r="D3700" i="1"/>
  <c r="C3701" i="1"/>
  <c r="D3701" i="1"/>
  <c r="C3702" i="1"/>
  <c r="D3702" i="1"/>
  <c r="C3703" i="1"/>
  <c r="D3703" i="1"/>
  <c r="C3704" i="1"/>
  <c r="D3704" i="1"/>
  <c r="C3705" i="1"/>
  <c r="D3705" i="1"/>
  <c r="C3706" i="1"/>
  <c r="D3706" i="1"/>
  <c r="C3707" i="1"/>
  <c r="D3707" i="1"/>
  <c r="C3708" i="1"/>
  <c r="D3708" i="1"/>
  <c r="C3709" i="1"/>
  <c r="D3709" i="1"/>
  <c r="C3710" i="1"/>
  <c r="D3710" i="1"/>
  <c r="C3711" i="1"/>
  <c r="D3711" i="1"/>
  <c r="C3712" i="1"/>
  <c r="D3712" i="1"/>
  <c r="C3713" i="1"/>
  <c r="D3713" i="1"/>
  <c r="C3714" i="1"/>
  <c r="D3714" i="1"/>
  <c r="C3715" i="1"/>
  <c r="D3715" i="1"/>
  <c r="C3716" i="1"/>
  <c r="D3716" i="1"/>
  <c r="C3717" i="1"/>
  <c r="D3717" i="1"/>
  <c r="C3718" i="1"/>
  <c r="D3718" i="1"/>
  <c r="C3719" i="1"/>
  <c r="D3719" i="1"/>
  <c r="C3720" i="1"/>
  <c r="D3720" i="1"/>
  <c r="C3721" i="1"/>
  <c r="D3721" i="1"/>
  <c r="C3722" i="1"/>
  <c r="D3722" i="1"/>
  <c r="C3723" i="1"/>
  <c r="D3723" i="1"/>
  <c r="C3724" i="1"/>
  <c r="D3724" i="1"/>
  <c r="C3725" i="1"/>
  <c r="D3725" i="1"/>
  <c r="C3726" i="1"/>
  <c r="D3726" i="1"/>
  <c r="C3727" i="1"/>
  <c r="D3727" i="1"/>
  <c r="C3728" i="1"/>
  <c r="D3728" i="1"/>
  <c r="C3729" i="1"/>
  <c r="D3729" i="1"/>
  <c r="C3730" i="1"/>
  <c r="D3730" i="1"/>
  <c r="C3731" i="1"/>
  <c r="D3731" i="1"/>
  <c r="C3732" i="1"/>
  <c r="D3732" i="1"/>
  <c r="C3733" i="1"/>
  <c r="D3733" i="1"/>
  <c r="C3734" i="1"/>
  <c r="D3734" i="1"/>
  <c r="C3735" i="1"/>
  <c r="D3735" i="1"/>
  <c r="C3736" i="1"/>
  <c r="D3736" i="1"/>
  <c r="C3737" i="1"/>
  <c r="D3737" i="1"/>
  <c r="C3738" i="1"/>
  <c r="D3738" i="1"/>
  <c r="C3739" i="1"/>
  <c r="D3739" i="1"/>
  <c r="C3740" i="1"/>
  <c r="D3740" i="1"/>
  <c r="C3741" i="1"/>
  <c r="D3741" i="1"/>
  <c r="C3742" i="1"/>
  <c r="D3742" i="1"/>
  <c r="C3743" i="1"/>
  <c r="D3743" i="1"/>
  <c r="C3744" i="1"/>
  <c r="D3744" i="1"/>
  <c r="C3745" i="1"/>
  <c r="D3745" i="1"/>
  <c r="C3746" i="1"/>
  <c r="D3746" i="1"/>
  <c r="C3747" i="1"/>
  <c r="D3747" i="1"/>
  <c r="C3748" i="1"/>
  <c r="D3748" i="1"/>
  <c r="C3749" i="1"/>
  <c r="D3749" i="1"/>
  <c r="C3750" i="1"/>
  <c r="D3750" i="1"/>
  <c r="C3751" i="1"/>
  <c r="D3751" i="1"/>
  <c r="C3752" i="1"/>
  <c r="D3752" i="1"/>
  <c r="C3753" i="1"/>
  <c r="D3753" i="1"/>
  <c r="C3754" i="1"/>
  <c r="D3754" i="1"/>
  <c r="C3755" i="1"/>
  <c r="D3755" i="1"/>
  <c r="C3756" i="1"/>
  <c r="D3756" i="1"/>
  <c r="C3757" i="1"/>
  <c r="D3757" i="1"/>
  <c r="C3758" i="1"/>
  <c r="D3758" i="1"/>
  <c r="C3759" i="1"/>
  <c r="D3759" i="1"/>
  <c r="C3760" i="1"/>
  <c r="D3760" i="1"/>
  <c r="C3761" i="1"/>
  <c r="D3761" i="1"/>
  <c r="C3762" i="1"/>
  <c r="D3762" i="1"/>
  <c r="C3763" i="1"/>
  <c r="D3763" i="1"/>
  <c r="C3764" i="1"/>
  <c r="D3764" i="1"/>
  <c r="C3765" i="1"/>
  <c r="D3765" i="1"/>
  <c r="C3766" i="1"/>
  <c r="D3766" i="1"/>
  <c r="C3767" i="1"/>
  <c r="D3767" i="1"/>
  <c r="C3768" i="1"/>
  <c r="D3768" i="1"/>
  <c r="C3769" i="1"/>
  <c r="D3769" i="1"/>
  <c r="C3770" i="1"/>
  <c r="D3770" i="1"/>
  <c r="C3771" i="1"/>
  <c r="D3771" i="1"/>
  <c r="C3772" i="1"/>
  <c r="D3772" i="1"/>
  <c r="C3773" i="1"/>
  <c r="D3773" i="1"/>
  <c r="C3774" i="1"/>
  <c r="D3774" i="1"/>
  <c r="C3775" i="1"/>
  <c r="D3775" i="1"/>
  <c r="C3776" i="1"/>
  <c r="D3776" i="1"/>
  <c r="C3777" i="1"/>
  <c r="D3777" i="1"/>
  <c r="C3778" i="1"/>
  <c r="D3778" i="1"/>
  <c r="C3779" i="1"/>
  <c r="D3779" i="1"/>
  <c r="C3780" i="1"/>
  <c r="D3780" i="1"/>
  <c r="C3781" i="1"/>
  <c r="D3781" i="1"/>
  <c r="C3782" i="1"/>
  <c r="D3782" i="1"/>
  <c r="C3783" i="1"/>
  <c r="D3783" i="1"/>
  <c r="C3784" i="1"/>
  <c r="D3784" i="1"/>
  <c r="C3785" i="1"/>
  <c r="D3785" i="1"/>
  <c r="C3786" i="1"/>
  <c r="D3786" i="1"/>
  <c r="C3787" i="1"/>
  <c r="D3787" i="1"/>
  <c r="C3788" i="1"/>
  <c r="D3788" i="1"/>
  <c r="C3789" i="1"/>
  <c r="D3789" i="1"/>
  <c r="C3790" i="1"/>
  <c r="D3790" i="1"/>
  <c r="C3791" i="1"/>
  <c r="D3791" i="1"/>
  <c r="C3792" i="1"/>
  <c r="D3792" i="1"/>
  <c r="C3793" i="1"/>
  <c r="D3793" i="1"/>
  <c r="C3794" i="1"/>
  <c r="D3794" i="1"/>
  <c r="C3795" i="1"/>
  <c r="D3795" i="1"/>
  <c r="C3796" i="1"/>
  <c r="D3796" i="1"/>
  <c r="C3797" i="1"/>
  <c r="D3797" i="1"/>
  <c r="C3798" i="1"/>
  <c r="D3798" i="1"/>
  <c r="C3799" i="1"/>
  <c r="D3799" i="1"/>
  <c r="C3800" i="1"/>
  <c r="D3800" i="1"/>
  <c r="C3801" i="1"/>
  <c r="D3801" i="1"/>
  <c r="C3802" i="1"/>
  <c r="D3802" i="1"/>
  <c r="C3803" i="1"/>
  <c r="D3803" i="1"/>
  <c r="C3804" i="1"/>
  <c r="D3804" i="1"/>
  <c r="C3805" i="1"/>
  <c r="D3805" i="1"/>
  <c r="C3806" i="1"/>
  <c r="D3806" i="1"/>
  <c r="C3807" i="1"/>
  <c r="D3807" i="1"/>
  <c r="C3808" i="1"/>
  <c r="D3808" i="1"/>
  <c r="C3809" i="1"/>
  <c r="D3809" i="1"/>
  <c r="C3810" i="1"/>
  <c r="D3810" i="1"/>
  <c r="C3811" i="1"/>
  <c r="D3811" i="1"/>
  <c r="C3812" i="1"/>
  <c r="D3812" i="1"/>
  <c r="C3813" i="1"/>
  <c r="D3813" i="1"/>
  <c r="C3814" i="1"/>
  <c r="D3814" i="1"/>
  <c r="C3815" i="1"/>
  <c r="D3815" i="1"/>
  <c r="C3816" i="1"/>
  <c r="D3816" i="1"/>
  <c r="C3817" i="1"/>
  <c r="D3817" i="1"/>
  <c r="C3818" i="1"/>
  <c r="D3818" i="1"/>
  <c r="C3819" i="1"/>
  <c r="D3819" i="1"/>
  <c r="C3820" i="1"/>
  <c r="D3820" i="1"/>
  <c r="C3821" i="1"/>
  <c r="D3821" i="1"/>
  <c r="C3822" i="1"/>
  <c r="D3822" i="1"/>
  <c r="C3823" i="1"/>
  <c r="D3823" i="1"/>
  <c r="C3824" i="1"/>
  <c r="D3824" i="1"/>
  <c r="C3825" i="1"/>
  <c r="D3825" i="1"/>
  <c r="C3826" i="1"/>
  <c r="D3826" i="1"/>
  <c r="C3827" i="1"/>
  <c r="D3827" i="1"/>
  <c r="C3828" i="1"/>
  <c r="D3828" i="1"/>
  <c r="C3829" i="1"/>
  <c r="D3829" i="1"/>
  <c r="C3830" i="1"/>
  <c r="D3830" i="1"/>
  <c r="C3831" i="1"/>
  <c r="D3831" i="1"/>
  <c r="C3832" i="1"/>
  <c r="D3832" i="1"/>
  <c r="C3833" i="1"/>
  <c r="D3833" i="1"/>
  <c r="C3834" i="1"/>
  <c r="D3834" i="1"/>
  <c r="C3835" i="1"/>
  <c r="D3835" i="1"/>
  <c r="C3836" i="1"/>
  <c r="D3836" i="1"/>
  <c r="C3837" i="1"/>
  <c r="D3837" i="1"/>
  <c r="C3838" i="1"/>
  <c r="D3838" i="1"/>
  <c r="C3839" i="1"/>
  <c r="D3839" i="1"/>
  <c r="C3840" i="1"/>
  <c r="D3840" i="1"/>
  <c r="C3841" i="1"/>
  <c r="D3841" i="1"/>
  <c r="C3842" i="1"/>
  <c r="D3842" i="1"/>
  <c r="C3843" i="1"/>
  <c r="D3843" i="1"/>
  <c r="C3844" i="1"/>
  <c r="D3844" i="1"/>
  <c r="C3845" i="1"/>
  <c r="D3845" i="1"/>
  <c r="C3846" i="1"/>
  <c r="D3846" i="1"/>
  <c r="C3847" i="1"/>
  <c r="D3847" i="1"/>
  <c r="C3848" i="1"/>
  <c r="D3848" i="1"/>
  <c r="C3849" i="1"/>
  <c r="D3849" i="1"/>
  <c r="C3850" i="1"/>
  <c r="D3850" i="1"/>
  <c r="C3851" i="1"/>
  <c r="D3851" i="1"/>
  <c r="C3852" i="1"/>
  <c r="D3852" i="1"/>
  <c r="C3853" i="1"/>
  <c r="D3853" i="1"/>
  <c r="C3854" i="1"/>
  <c r="D3854" i="1"/>
  <c r="C3855" i="1"/>
  <c r="D3855" i="1"/>
  <c r="C3856" i="1"/>
  <c r="D3856" i="1"/>
  <c r="C3857" i="1"/>
  <c r="D3857" i="1"/>
  <c r="C3858" i="1"/>
  <c r="D3858" i="1"/>
  <c r="C3859" i="1"/>
  <c r="D3859" i="1"/>
  <c r="C3860" i="1"/>
  <c r="D3860" i="1"/>
  <c r="C3861" i="1"/>
  <c r="D3861" i="1"/>
  <c r="C3862" i="1"/>
  <c r="D3862" i="1"/>
  <c r="C3863" i="1"/>
  <c r="D3863" i="1"/>
  <c r="C3864" i="1"/>
  <c r="D3864" i="1"/>
  <c r="C3865" i="1"/>
  <c r="D3865" i="1"/>
  <c r="C3866" i="1"/>
  <c r="D3866" i="1"/>
  <c r="C3867" i="1"/>
  <c r="D3867" i="1"/>
  <c r="C3868" i="1"/>
  <c r="D3868" i="1"/>
  <c r="C3869" i="1"/>
  <c r="D3869" i="1"/>
  <c r="C3870" i="1"/>
  <c r="D3870" i="1"/>
  <c r="C3871" i="1"/>
  <c r="D3871" i="1"/>
  <c r="C3872" i="1"/>
  <c r="D3872" i="1"/>
  <c r="C3873" i="1"/>
  <c r="D3873" i="1"/>
  <c r="C3874" i="1"/>
  <c r="D3874" i="1"/>
  <c r="C3875" i="1"/>
  <c r="D3875" i="1"/>
  <c r="C3876" i="1"/>
  <c r="D3876" i="1"/>
  <c r="C3877" i="1"/>
  <c r="D3877" i="1"/>
  <c r="C3878" i="1"/>
  <c r="D3878" i="1"/>
  <c r="C3879" i="1"/>
  <c r="D3879" i="1"/>
  <c r="C3880" i="1"/>
  <c r="D3880" i="1"/>
  <c r="C3881" i="1"/>
  <c r="D3881" i="1"/>
  <c r="C3882" i="1"/>
  <c r="D3882" i="1"/>
  <c r="C3883" i="1"/>
  <c r="D3883" i="1"/>
  <c r="C3884" i="1"/>
  <c r="D3884" i="1"/>
  <c r="C3885" i="1"/>
  <c r="D3885" i="1"/>
  <c r="C3886" i="1"/>
  <c r="D3886" i="1"/>
  <c r="C3887" i="1"/>
  <c r="D3887" i="1"/>
  <c r="C3888" i="1"/>
  <c r="D3888" i="1"/>
  <c r="C3889" i="1"/>
  <c r="D3889" i="1"/>
  <c r="C3890" i="1"/>
  <c r="D3890" i="1"/>
  <c r="C3891" i="1"/>
  <c r="D3891" i="1"/>
  <c r="C3892" i="1"/>
  <c r="D3892" i="1"/>
  <c r="C3893" i="1"/>
  <c r="D3893" i="1"/>
  <c r="C3894" i="1"/>
  <c r="D3894" i="1"/>
  <c r="C3895" i="1"/>
  <c r="D3895" i="1"/>
  <c r="C3896" i="1"/>
  <c r="D3896" i="1"/>
  <c r="C3897" i="1"/>
  <c r="D3897" i="1"/>
  <c r="C3898" i="1"/>
  <c r="D3898" i="1"/>
  <c r="C3899" i="1"/>
  <c r="D3899" i="1"/>
  <c r="C3900" i="1"/>
  <c r="D3900" i="1"/>
  <c r="C3901" i="1"/>
  <c r="D3901" i="1"/>
  <c r="C3902" i="1"/>
  <c r="D3902" i="1"/>
  <c r="C3903" i="1"/>
  <c r="D3903" i="1"/>
  <c r="C3904" i="1"/>
  <c r="D3904" i="1"/>
  <c r="C3905" i="1"/>
  <c r="D3905" i="1"/>
  <c r="C3906" i="1"/>
  <c r="D3906" i="1"/>
  <c r="C3907" i="1"/>
  <c r="D3907" i="1"/>
  <c r="C3908" i="1"/>
  <c r="D3908" i="1"/>
  <c r="C3909" i="1"/>
  <c r="D3909" i="1"/>
  <c r="C3910" i="1"/>
  <c r="D3910" i="1"/>
  <c r="C3911" i="1"/>
  <c r="D3911" i="1"/>
  <c r="C3912" i="1"/>
  <c r="D3912" i="1"/>
  <c r="C3913" i="1"/>
  <c r="D3913" i="1"/>
  <c r="C3914" i="1"/>
  <c r="D3914" i="1"/>
  <c r="C3915" i="1"/>
  <c r="D3915" i="1"/>
  <c r="C3916" i="1"/>
  <c r="D3916" i="1"/>
  <c r="C3917" i="1"/>
  <c r="D3917" i="1"/>
  <c r="C3918" i="1"/>
  <c r="D3918" i="1"/>
  <c r="C3919" i="1"/>
  <c r="D3919" i="1"/>
  <c r="C3920" i="1"/>
  <c r="D3920" i="1"/>
  <c r="C3921" i="1"/>
  <c r="D3921" i="1"/>
  <c r="C3922" i="1"/>
  <c r="D3922" i="1"/>
  <c r="C3923" i="1"/>
  <c r="D3923" i="1"/>
  <c r="C3924" i="1"/>
  <c r="D3924" i="1"/>
  <c r="C3925" i="1"/>
  <c r="D3925" i="1"/>
  <c r="C3926" i="1"/>
  <c r="D3926" i="1"/>
  <c r="C3927" i="1"/>
  <c r="D3927" i="1"/>
  <c r="C3928" i="1"/>
  <c r="D3928" i="1"/>
  <c r="C3929" i="1"/>
  <c r="D3929" i="1"/>
  <c r="C3930" i="1"/>
  <c r="D3930" i="1"/>
  <c r="C3931" i="1"/>
  <c r="D3931" i="1"/>
  <c r="C3932" i="1"/>
  <c r="D3932" i="1"/>
  <c r="C3933" i="1"/>
  <c r="D3933" i="1"/>
  <c r="C3934" i="1"/>
  <c r="D3934" i="1"/>
  <c r="C3935" i="1"/>
  <c r="D3935" i="1"/>
  <c r="C3936" i="1"/>
  <c r="D3936" i="1"/>
  <c r="C3937" i="1"/>
  <c r="D3937" i="1"/>
  <c r="C3938" i="1"/>
  <c r="D3938" i="1"/>
  <c r="C3939" i="1"/>
  <c r="D3939" i="1"/>
  <c r="C3940" i="1"/>
  <c r="D3940" i="1"/>
  <c r="C3941" i="1"/>
  <c r="D3941" i="1"/>
  <c r="C3942" i="1"/>
  <c r="D3942" i="1"/>
  <c r="C3943" i="1"/>
  <c r="D3943" i="1"/>
  <c r="C3944" i="1"/>
  <c r="D3944" i="1"/>
  <c r="C3945" i="1"/>
  <c r="D3945" i="1"/>
  <c r="C3946" i="1"/>
  <c r="D3946" i="1"/>
  <c r="C3947" i="1"/>
  <c r="D3947" i="1"/>
  <c r="C3948" i="1"/>
  <c r="D3948" i="1"/>
  <c r="C3949" i="1"/>
  <c r="D3949" i="1"/>
  <c r="C3950" i="1"/>
  <c r="D3950" i="1"/>
  <c r="C3951" i="1"/>
  <c r="D3951" i="1"/>
  <c r="C3952" i="1"/>
  <c r="D3952" i="1"/>
  <c r="C3953" i="1"/>
  <c r="D3953" i="1"/>
  <c r="C3954" i="1"/>
  <c r="D3954" i="1"/>
  <c r="C3955" i="1"/>
  <c r="D3955" i="1"/>
  <c r="C3956" i="1"/>
  <c r="D3956" i="1"/>
  <c r="C3957" i="1"/>
  <c r="D3957" i="1"/>
  <c r="C3958" i="1"/>
  <c r="D3958" i="1"/>
  <c r="C3959" i="1"/>
  <c r="D3959" i="1"/>
  <c r="C3960" i="1"/>
  <c r="D3960" i="1"/>
  <c r="C3961" i="1"/>
  <c r="D3961" i="1"/>
  <c r="C3962" i="1"/>
  <c r="D3962" i="1"/>
  <c r="C3963" i="1"/>
  <c r="D3963" i="1"/>
  <c r="C3964" i="1"/>
  <c r="D3964" i="1"/>
  <c r="C3965" i="1"/>
  <c r="D3965" i="1"/>
  <c r="C3966" i="1"/>
  <c r="D3966" i="1"/>
  <c r="C3967" i="1"/>
  <c r="D3967" i="1"/>
  <c r="C3968" i="1"/>
  <c r="D3968" i="1"/>
  <c r="C3969" i="1"/>
  <c r="D3969" i="1"/>
  <c r="C3970" i="1"/>
  <c r="D3970" i="1"/>
  <c r="C3971" i="1"/>
  <c r="D3971" i="1"/>
  <c r="C3972" i="1"/>
  <c r="D3972" i="1"/>
  <c r="C3973" i="1"/>
  <c r="D3973" i="1"/>
  <c r="C3974" i="1"/>
  <c r="D3974" i="1"/>
  <c r="C3975" i="1"/>
  <c r="D3975" i="1"/>
  <c r="C3976" i="1"/>
  <c r="D3976" i="1"/>
  <c r="C3977" i="1"/>
  <c r="D3977" i="1"/>
  <c r="C3978" i="1"/>
  <c r="D3978" i="1"/>
  <c r="C3979" i="1"/>
  <c r="D3979" i="1"/>
  <c r="C3980" i="1"/>
  <c r="D3980" i="1"/>
  <c r="C3981" i="1"/>
  <c r="D3981" i="1"/>
  <c r="C3982" i="1"/>
  <c r="D3982" i="1"/>
  <c r="C3983" i="1"/>
  <c r="D3983" i="1"/>
  <c r="C3984" i="1"/>
  <c r="D3984" i="1"/>
  <c r="C3985" i="1"/>
  <c r="D3985" i="1"/>
  <c r="C3986" i="1"/>
  <c r="D3986" i="1"/>
  <c r="C3987" i="1"/>
  <c r="D3987" i="1"/>
  <c r="C3988" i="1"/>
  <c r="D3988" i="1"/>
  <c r="C3989" i="1"/>
  <c r="D3989" i="1"/>
  <c r="C3990" i="1"/>
  <c r="D3990" i="1"/>
  <c r="C3991" i="1"/>
  <c r="D3991" i="1"/>
  <c r="C3992" i="1"/>
  <c r="D3992" i="1"/>
  <c r="C3993" i="1"/>
  <c r="D3993" i="1"/>
  <c r="C3994" i="1"/>
  <c r="D3994" i="1"/>
  <c r="C3995" i="1"/>
  <c r="D3995" i="1"/>
  <c r="C3996" i="1"/>
  <c r="D3996" i="1"/>
  <c r="C3997" i="1"/>
  <c r="D3997" i="1"/>
  <c r="C3998" i="1"/>
  <c r="D3998" i="1"/>
  <c r="C3999" i="1"/>
  <c r="D3999" i="1"/>
  <c r="C4000" i="1"/>
  <c r="D4000" i="1"/>
  <c r="C4001" i="1"/>
  <c r="D4001" i="1"/>
  <c r="C4002" i="1"/>
  <c r="D4002" i="1"/>
  <c r="C4003" i="1"/>
  <c r="D4003" i="1"/>
  <c r="C4004" i="1"/>
  <c r="D4004" i="1"/>
  <c r="C4005" i="1"/>
  <c r="D4005" i="1"/>
  <c r="C4006" i="1"/>
  <c r="D4006" i="1"/>
  <c r="C4007" i="1"/>
  <c r="D4007" i="1"/>
  <c r="C4008" i="1"/>
  <c r="D4008" i="1"/>
  <c r="C4009" i="1"/>
  <c r="D4009" i="1"/>
  <c r="C4010" i="1"/>
  <c r="D4010" i="1"/>
  <c r="C4011" i="1"/>
  <c r="D4011" i="1"/>
  <c r="C4012" i="1"/>
  <c r="D4012" i="1"/>
  <c r="C4013" i="1"/>
  <c r="D4013" i="1"/>
  <c r="C4014" i="1"/>
  <c r="D4014" i="1"/>
  <c r="C4015" i="1"/>
  <c r="D4015" i="1"/>
  <c r="C4016" i="1"/>
  <c r="D4016" i="1"/>
  <c r="C4017" i="1"/>
  <c r="D4017" i="1"/>
  <c r="C4018" i="1"/>
  <c r="D4018" i="1"/>
  <c r="C4019" i="1"/>
  <c r="D4019" i="1"/>
  <c r="C4020" i="1"/>
  <c r="D4020" i="1"/>
  <c r="C4021" i="1"/>
  <c r="D4021" i="1"/>
  <c r="C4022" i="1"/>
  <c r="D4022" i="1"/>
  <c r="C4023" i="1"/>
  <c r="D4023" i="1"/>
  <c r="C4024" i="1"/>
  <c r="D4024" i="1"/>
  <c r="C4025" i="1"/>
  <c r="D4025" i="1"/>
  <c r="C4026" i="1"/>
  <c r="D4026" i="1"/>
  <c r="C4027" i="1"/>
  <c r="D4027" i="1"/>
  <c r="C4028" i="1"/>
  <c r="D4028" i="1"/>
  <c r="C4029" i="1"/>
  <c r="D4029" i="1"/>
  <c r="C4030" i="1"/>
  <c r="D4030" i="1"/>
  <c r="C4031" i="1"/>
  <c r="D4031" i="1"/>
  <c r="C4032" i="1"/>
  <c r="D4032" i="1"/>
  <c r="C4033" i="1"/>
  <c r="D4033" i="1"/>
  <c r="C4034" i="1"/>
  <c r="D4034" i="1"/>
  <c r="C4035" i="1"/>
  <c r="D4035" i="1"/>
  <c r="C4036" i="1"/>
  <c r="D4036" i="1"/>
  <c r="C4037" i="1"/>
  <c r="D4037" i="1"/>
  <c r="C4038" i="1"/>
  <c r="D4038" i="1"/>
  <c r="C4039" i="1"/>
  <c r="D4039" i="1"/>
  <c r="C4040" i="1"/>
  <c r="D4040" i="1"/>
  <c r="C4041" i="1"/>
  <c r="D4041" i="1"/>
  <c r="C4042" i="1"/>
  <c r="D4042" i="1"/>
  <c r="C4043" i="1"/>
  <c r="D4043" i="1"/>
  <c r="C4044" i="1"/>
  <c r="D4044" i="1"/>
  <c r="C4045" i="1"/>
  <c r="D4045" i="1"/>
  <c r="C4046" i="1"/>
  <c r="D4046" i="1"/>
  <c r="C4047" i="1"/>
  <c r="D4047" i="1"/>
  <c r="C4048" i="1"/>
  <c r="D4048" i="1"/>
  <c r="C4049" i="1"/>
  <c r="D4049" i="1"/>
  <c r="C4050" i="1"/>
  <c r="D4050" i="1"/>
  <c r="C4051" i="1"/>
  <c r="D4051" i="1"/>
  <c r="C4052" i="1"/>
  <c r="D4052" i="1"/>
  <c r="C4053" i="1"/>
  <c r="D4053" i="1"/>
  <c r="C4054" i="1"/>
  <c r="D4054" i="1"/>
  <c r="C4055" i="1"/>
  <c r="D4055" i="1"/>
  <c r="C4056" i="1"/>
  <c r="D4056" i="1"/>
  <c r="C4057" i="1"/>
  <c r="D4057" i="1"/>
  <c r="C4058" i="1"/>
  <c r="D4058" i="1"/>
  <c r="C4059" i="1"/>
  <c r="D4059" i="1"/>
  <c r="C4060" i="1"/>
  <c r="D4060" i="1"/>
  <c r="C4061" i="1"/>
  <c r="D4061" i="1"/>
  <c r="C4062" i="1"/>
  <c r="D4062" i="1"/>
  <c r="C4063" i="1"/>
  <c r="D4063" i="1"/>
  <c r="C4064" i="1"/>
  <c r="D4064" i="1"/>
  <c r="C4065" i="1"/>
  <c r="D4065" i="1"/>
  <c r="C4066" i="1"/>
  <c r="D4066" i="1"/>
  <c r="C4067" i="1"/>
  <c r="D4067" i="1"/>
  <c r="C4068" i="1"/>
  <c r="D4068" i="1"/>
  <c r="C4069" i="1"/>
  <c r="D4069" i="1"/>
  <c r="C4070" i="1"/>
  <c r="D4070" i="1"/>
  <c r="C4071" i="1"/>
  <c r="D4071" i="1"/>
  <c r="C4072" i="1"/>
  <c r="D4072" i="1"/>
  <c r="C4073" i="1"/>
  <c r="D4073" i="1"/>
  <c r="C4074" i="1"/>
  <c r="D4074" i="1"/>
  <c r="C4075" i="1"/>
  <c r="D4075" i="1"/>
  <c r="C4076" i="1"/>
  <c r="D4076" i="1"/>
  <c r="C4077" i="1"/>
  <c r="D4077" i="1"/>
  <c r="C4078" i="1"/>
  <c r="D4078" i="1"/>
  <c r="C4079" i="1"/>
  <c r="D4079" i="1"/>
  <c r="C4080" i="1"/>
  <c r="D4080" i="1"/>
  <c r="C4081" i="1"/>
  <c r="D4081" i="1"/>
  <c r="C4082" i="1"/>
  <c r="D4082" i="1"/>
  <c r="C4083" i="1"/>
  <c r="D4083" i="1"/>
  <c r="C4084" i="1"/>
  <c r="D4084" i="1"/>
  <c r="C4085" i="1"/>
  <c r="D4085" i="1"/>
  <c r="C4086" i="1"/>
  <c r="D4086" i="1"/>
  <c r="C4087" i="1"/>
  <c r="D4087" i="1"/>
  <c r="C4088" i="1"/>
  <c r="D4088" i="1"/>
  <c r="C4089" i="1"/>
  <c r="D4089" i="1"/>
  <c r="C4090" i="1"/>
  <c r="D4090" i="1"/>
  <c r="C4091" i="1"/>
  <c r="D4091" i="1"/>
  <c r="C4092" i="1"/>
  <c r="D4092" i="1"/>
  <c r="C4093" i="1"/>
  <c r="D4093" i="1"/>
  <c r="C4094" i="1"/>
  <c r="D4094" i="1"/>
  <c r="C4095" i="1"/>
  <c r="D4095" i="1"/>
  <c r="C4096" i="1"/>
  <c r="D4096" i="1"/>
  <c r="C4097" i="1"/>
  <c r="D4097" i="1"/>
  <c r="C4098" i="1"/>
  <c r="D4098" i="1"/>
  <c r="C4099" i="1"/>
  <c r="D4099" i="1"/>
  <c r="C4100" i="1"/>
  <c r="D4100" i="1"/>
  <c r="C4101" i="1"/>
  <c r="D4101" i="1"/>
  <c r="C4102" i="1"/>
  <c r="D4102" i="1"/>
  <c r="C4103" i="1"/>
  <c r="D4103" i="1"/>
  <c r="C4104" i="1"/>
  <c r="D4104" i="1"/>
  <c r="C4105" i="1"/>
  <c r="D4105" i="1"/>
  <c r="C4106" i="1"/>
  <c r="D4106" i="1"/>
  <c r="C4107" i="1"/>
  <c r="D4107" i="1"/>
  <c r="C4108" i="1"/>
  <c r="D4108" i="1"/>
  <c r="C4109" i="1"/>
  <c r="D4109" i="1"/>
  <c r="C4110" i="1"/>
  <c r="D4110" i="1"/>
  <c r="C4111" i="1"/>
  <c r="D4111" i="1"/>
  <c r="C4112" i="1"/>
  <c r="D4112" i="1"/>
  <c r="C4113" i="1"/>
  <c r="D4113" i="1"/>
  <c r="C4114" i="1"/>
  <c r="D4114" i="1"/>
  <c r="C4115" i="1"/>
  <c r="D4115" i="1"/>
  <c r="C4116" i="1"/>
  <c r="D4116" i="1"/>
  <c r="C4117" i="1"/>
  <c r="D4117" i="1"/>
  <c r="C4118" i="1"/>
  <c r="D4118" i="1"/>
  <c r="C4119" i="1"/>
  <c r="D4119" i="1"/>
  <c r="C4120" i="1"/>
  <c r="D4120" i="1"/>
  <c r="C4121" i="1"/>
  <c r="D4121" i="1"/>
  <c r="C4122" i="1"/>
  <c r="D4122" i="1"/>
  <c r="C4123" i="1"/>
  <c r="D4123" i="1"/>
  <c r="C4124" i="1"/>
  <c r="D4124" i="1"/>
  <c r="C4125" i="1"/>
  <c r="D4125" i="1"/>
  <c r="C4126" i="1"/>
  <c r="D4126" i="1"/>
  <c r="C4127" i="1"/>
  <c r="D4127" i="1"/>
  <c r="C4128" i="1"/>
  <c r="D4128" i="1"/>
  <c r="C4129" i="1"/>
  <c r="D4129" i="1"/>
  <c r="C4130" i="1"/>
  <c r="D4130" i="1"/>
  <c r="C4131" i="1"/>
  <c r="D4131" i="1"/>
  <c r="C4132" i="1"/>
  <c r="D4132" i="1"/>
  <c r="C4133" i="1"/>
  <c r="D4133" i="1"/>
  <c r="C4134" i="1"/>
  <c r="D4134" i="1"/>
  <c r="C4135" i="1"/>
  <c r="D4135" i="1"/>
  <c r="C4136" i="1"/>
  <c r="D4136" i="1"/>
  <c r="C4137" i="1"/>
  <c r="D4137" i="1"/>
  <c r="C4138" i="1"/>
  <c r="D4138" i="1"/>
  <c r="C4139" i="1"/>
  <c r="D4139" i="1"/>
  <c r="C4140" i="1"/>
  <c r="D4140" i="1"/>
  <c r="C4141" i="1"/>
  <c r="D4141" i="1"/>
  <c r="C4142" i="1"/>
  <c r="D4142" i="1"/>
  <c r="C4143" i="1"/>
  <c r="D4143" i="1"/>
  <c r="C4144" i="1"/>
  <c r="D4144" i="1"/>
  <c r="C4145" i="1"/>
  <c r="D4145" i="1"/>
  <c r="C4146" i="1"/>
  <c r="D4146" i="1"/>
  <c r="C4147" i="1"/>
  <c r="D4147" i="1"/>
  <c r="C4148" i="1"/>
  <c r="D4148" i="1"/>
  <c r="C4149" i="1"/>
  <c r="D4149" i="1"/>
  <c r="C4150" i="1"/>
  <c r="D4150" i="1"/>
  <c r="C4151" i="1"/>
  <c r="D4151" i="1"/>
  <c r="C4152" i="1"/>
  <c r="D4152" i="1"/>
  <c r="C4153" i="1"/>
  <c r="D4153" i="1"/>
  <c r="C4154" i="1"/>
  <c r="D4154" i="1"/>
  <c r="C4155" i="1"/>
  <c r="D4155" i="1"/>
  <c r="C4156" i="1"/>
  <c r="D4156" i="1"/>
  <c r="C4157" i="1"/>
  <c r="D4157" i="1"/>
  <c r="C4158" i="1"/>
  <c r="D4158" i="1"/>
  <c r="C4159" i="1"/>
  <c r="D4159" i="1"/>
  <c r="C4160" i="1"/>
  <c r="D4160" i="1"/>
  <c r="C4161" i="1"/>
  <c r="D4161" i="1"/>
  <c r="C4162" i="1"/>
  <c r="D4162" i="1"/>
  <c r="C4163" i="1"/>
  <c r="D4163" i="1"/>
  <c r="C4164" i="1"/>
  <c r="D4164" i="1"/>
  <c r="C4165" i="1"/>
  <c r="D4165" i="1"/>
  <c r="C4166" i="1"/>
  <c r="D4166" i="1"/>
  <c r="C4167" i="1"/>
  <c r="D4167" i="1"/>
  <c r="C4168" i="1"/>
  <c r="D4168" i="1"/>
  <c r="C4169" i="1"/>
  <c r="D4169" i="1"/>
  <c r="C4170" i="1"/>
  <c r="D4170" i="1"/>
  <c r="C4171" i="1"/>
  <c r="D4171" i="1"/>
  <c r="C4172" i="1"/>
  <c r="D4172" i="1"/>
  <c r="C4173" i="1"/>
  <c r="D4173" i="1"/>
  <c r="C4174" i="1"/>
  <c r="D4174" i="1"/>
  <c r="C4175" i="1"/>
  <c r="D4175" i="1"/>
  <c r="C4176" i="1"/>
  <c r="D4176" i="1"/>
  <c r="C4177" i="1"/>
  <c r="D4177" i="1"/>
  <c r="C4178" i="1"/>
  <c r="D4178" i="1"/>
  <c r="C4179" i="1"/>
  <c r="D4179" i="1"/>
  <c r="C4180" i="1"/>
  <c r="D4180" i="1"/>
  <c r="C4181" i="1"/>
  <c r="D4181" i="1"/>
  <c r="C4182" i="1"/>
  <c r="D4182" i="1"/>
  <c r="C4183" i="1"/>
  <c r="D4183" i="1"/>
  <c r="C4184" i="1"/>
  <c r="D4184" i="1"/>
  <c r="C4185" i="1"/>
  <c r="D4185" i="1"/>
  <c r="C4186" i="1"/>
  <c r="D4186" i="1"/>
  <c r="C4187" i="1"/>
  <c r="D4187" i="1"/>
  <c r="C4188" i="1"/>
  <c r="D4188" i="1"/>
  <c r="C4189" i="1"/>
  <c r="D4189" i="1"/>
  <c r="C4190" i="1"/>
  <c r="D4190" i="1"/>
  <c r="C4191" i="1"/>
  <c r="D4191" i="1"/>
  <c r="C4192" i="1"/>
  <c r="D4192" i="1"/>
  <c r="C4193" i="1"/>
  <c r="D4193" i="1"/>
  <c r="C4194" i="1"/>
  <c r="D4194" i="1"/>
  <c r="C4195" i="1"/>
  <c r="D4195" i="1"/>
  <c r="C4196" i="1"/>
  <c r="D4196" i="1"/>
  <c r="C4197" i="1"/>
  <c r="D4197" i="1"/>
  <c r="C4198" i="1"/>
  <c r="D4198" i="1"/>
  <c r="C4199" i="1"/>
  <c r="D4199" i="1"/>
  <c r="C4200" i="1"/>
  <c r="D4200" i="1"/>
  <c r="C4201" i="1"/>
  <c r="D4201" i="1"/>
  <c r="C4202" i="1"/>
  <c r="D4202" i="1"/>
  <c r="C4203" i="1"/>
  <c r="D4203" i="1"/>
  <c r="C4204" i="1"/>
  <c r="D4204" i="1"/>
  <c r="C4205" i="1"/>
  <c r="D4205" i="1"/>
  <c r="C4206" i="1"/>
  <c r="D4206" i="1"/>
  <c r="C4207" i="1"/>
  <c r="D4207" i="1"/>
  <c r="C4208" i="1"/>
  <c r="D4208" i="1"/>
  <c r="C4209" i="1"/>
  <c r="D4209" i="1"/>
  <c r="C4210" i="1"/>
  <c r="D4210" i="1"/>
  <c r="C4211" i="1"/>
  <c r="D4211" i="1"/>
  <c r="C4212" i="1"/>
  <c r="D4212" i="1"/>
  <c r="C4213" i="1"/>
  <c r="D4213" i="1"/>
  <c r="C4214" i="1"/>
  <c r="D4214" i="1"/>
  <c r="C4215" i="1"/>
  <c r="D4215" i="1"/>
  <c r="C4216" i="1"/>
  <c r="D4216" i="1"/>
  <c r="C4217" i="1"/>
  <c r="D4217" i="1"/>
  <c r="C4218" i="1"/>
  <c r="D4218" i="1"/>
  <c r="C4219" i="1"/>
  <c r="D4219" i="1"/>
  <c r="C4220" i="1"/>
  <c r="D4220" i="1"/>
  <c r="C4221" i="1"/>
  <c r="D4221" i="1"/>
  <c r="C4222" i="1"/>
  <c r="D4222" i="1"/>
  <c r="C4223" i="1"/>
  <c r="D4223" i="1"/>
  <c r="C4224" i="1"/>
  <c r="D4224" i="1"/>
  <c r="C4225" i="1"/>
  <c r="D4225" i="1"/>
  <c r="C4226" i="1"/>
  <c r="D4226" i="1"/>
  <c r="C4227" i="1"/>
  <c r="D4227" i="1"/>
  <c r="C4228" i="1"/>
  <c r="D4228" i="1"/>
  <c r="C4229" i="1"/>
  <c r="D4229" i="1"/>
  <c r="C4230" i="1"/>
  <c r="D4230" i="1"/>
  <c r="C4231" i="1"/>
  <c r="D4231" i="1"/>
  <c r="C4232" i="1"/>
  <c r="D4232" i="1"/>
  <c r="C4233" i="1"/>
  <c r="D4233" i="1"/>
  <c r="C4234" i="1"/>
  <c r="D4234" i="1"/>
  <c r="C4235" i="1"/>
  <c r="D4235" i="1"/>
  <c r="C4236" i="1"/>
  <c r="D4236" i="1"/>
  <c r="C4237" i="1"/>
  <c r="D4237" i="1"/>
  <c r="C4238" i="1"/>
  <c r="D4238" i="1"/>
  <c r="C4239" i="1"/>
  <c r="D4239" i="1"/>
  <c r="C4240" i="1"/>
  <c r="D4240" i="1"/>
  <c r="C4241" i="1"/>
  <c r="D4241" i="1"/>
  <c r="C4242" i="1"/>
  <c r="D4242" i="1"/>
  <c r="C4243" i="1"/>
  <c r="D4243" i="1"/>
  <c r="C4244" i="1"/>
  <c r="D4244" i="1"/>
  <c r="C4245" i="1"/>
  <c r="D4245" i="1"/>
  <c r="C4246" i="1"/>
  <c r="D4246" i="1"/>
  <c r="C4247" i="1"/>
  <c r="D4247" i="1"/>
  <c r="C4248" i="1"/>
  <c r="D4248" i="1"/>
  <c r="C4249" i="1"/>
  <c r="D4249" i="1"/>
  <c r="C4250" i="1"/>
  <c r="D4250" i="1"/>
  <c r="C4251" i="1"/>
  <c r="D4251" i="1"/>
  <c r="C4252" i="1"/>
  <c r="D4252" i="1"/>
  <c r="C4253" i="1"/>
  <c r="D4253" i="1"/>
  <c r="C4254" i="1"/>
  <c r="D4254" i="1"/>
  <c r="C4255" i="1"/>
  <c r="D4255" i="1"/>
  <c r="C4256" i="1"/>
  <c r="D4256" i="1"/>
  <c r="C4257" i="1"/>
  <c r="D4257" i="1"/>
  <c r="C4258" i="1"/>
  <c r="D4258" i="1"/>
  <c r="C4259" i="1"/>
  <c r="D4259" i="1"/>
  <c r="C4260" i="1"/>
  <c r="D4260" i="1"/>
  <c r="C4261" i="1"/>
  <c r="D4261" i="1"/>
  <c r="C4262" i="1"/>
  <c r="D4262" i="1"/>
  <c r="C4263" i="1"/>
  <c r="D4263" i="1"/>
  <c r="C4264" i="1"/>
  <c r="D4264" i="1"/>
  <c r="C4265" i="1"/>
  <c r="D4265" i="1"/>
  <c r="C4266" i="1"/>
  <c r="D4266" i="1"/>
  <c r="C4267" i="1"/>
  <c r="D4267" i="1"/>
  <c r="C4268" i="1"/>
  <c r="D4268" i="1"/>
  <c r="C4269" i="1"/>
  <c r="D4269" i="1"/>
  <c r="C4270" i="1"/>
  <c r="D4270" i="1"/>
  <c r="C4271" i="1"/>
  <c r="D4271" i="1"/>
  <c r="C4272" i="1"/>
  <c r="D4272" i="1"/>
  <c r="C4273" i="1"/>
  <c r="D4273" i="1"/>
  <c r="C4274" i="1"/>
  <c r="D4274" i="1"/>
  <c r="C4275" i="1"/>
  <c r="D4275" i="1"/>
  <c r="C4276" i="1"/>
  <c r="D4276" i="1"/>
  <c r="C4277" i="1"/>
  <c r="D4277" i="1"/>
  <c r="C4278" i="1"/>
  <c r="D4278" i="1"/>
  <c r="C4279" i="1"/>
  <c r="D4279" i="1"/>
  <c r="C4280" i="1"/>
  <c r="D4280" i="1"/>
  <c r="C4281" i="1"/>
  <c r="D4281" i="1"/>
  <c r="C4282" i="1"/>
  <c r="D4282" i="1"/>
  <c r="C4283" i="1"/>
  <c r="D4283" i="1"/>
  <c r="C4284" i="1"/>
  <c r="D4284" i="1"/>
  <c r="C4285" i="1"/>
  <c r="D4285" i="1"/>
  <c r="C4286" i="1"/>
  <c r="D4286" i="1"/>
  <c r="C4287" i="1"/>
  <c r="D4287" i="1"/>
  <c r="C4288" i="1"/>
  <c r="D4288" i="1"/>
  <c r="C4289" i="1"/>
  <c r="D4289" i="1"/>
  <c r="C4290" i="1"/>
  <c r="D4290" i="1"/>
  <c r="C4291" i="1"/>
  <c r="D4291" i="1"/>
  <c r="C4292" i="1"/>
  <c r="D4292" i="1"/>
  <c r="C4293" i="1"/>
  <c r="D4293" i="1"/>
  <c r="C4294" i="1"/>
  <c r="D4294" i="1"/>
  <c r="C4295" i="1"/>
  <c r="D4295" i="1"/>
  <c r="C4296" i="1"/>
  <c r="D4296" i="1"/>
  <c r="C4297" i="1"/>
  <c r="D4297" i="1"/>
  <c r="C4298" i="1"/>
  <c r="D4298" i="1"/>
  <c r="C4299" i="1"/>
  <c r="D4299" i="1"/>
  <c r="C4300" i="1"/>
  <c r="D4300" i="1"/>
  <c r="C4301" i="1"/>
  <c r="D4301" i="1"/>
  <c r="C4302" i="1"/>
  <c r="D4302" i="1"/>
  <c r="C4303" i="1"/>
  <c r="D4303" i="1"/>
  <c r="C4304" i="1"/>
  <c r="D4304" i="1"/>
  <c r="C4305" i="1"/>
  <c r="D4305" i="1"/>
  <c r="C4306" i="1"/>
  <c r="D4306" i="1"/>
  <c r="C4307" i="1"/>
  <c r="D4307" i="1"/>
  <c r="C4308" i="1"/>
  <c r="D4308" i="1"/>
  <c r="C4309" i="1"/>
  <c r="D4309" i="1"/>
  <c r="C4310" i="1"/>
  <c r="D4310" i="1"/>
  <c r="C4311" i="1"/>
  <c r="D4311" i="1"/>
  <c r="C4312" i="1"/>
  <c r="D4312" i="1"/>
  <c r="C4313" i="1"/>
  <c r="D4313" i="1"/>
  <c r="C4314" i="1"/>
  <c r="D4314" i="1"/>
  <c r="C4315" i="1"/>
  <c r="D4315" i="1"/>
  <c r="C4316" i="1"/>
  <c r="D4316" i="1"/>
  <c r="C4317" i="1"/>
  <c r="D4317" i="1"/>
  <c r="C4318" i="1"/>
  <c r="D4318" i="1"/>
  <c r="C4319" i="1"/>
  <c r="D4319" i="1"/>
  <c r="C4320" i="1"/>
  <c r="D4320" i="1"/>
  <c r="C4321" i="1"/>
  <c r="D4321" i="1"/>
  <c r="C4322" i="1"/>
  <c r="D4322" i="1"/>
  <c r="C4323" i="1"/>
  <c r="D4323" i="1"/>
  <c r="C4324" i="1"/>
  <c r="D4324" i="1"/>
  <c r="C4325" i="1"/>
  <c r="D4325" i="1"/>
  <c r="C4326" i="1"/>
  <c r="D4326" i="1"/>
  <c r="C4327" i="1"/>
  <c r="D4327" i="1"/>
  <c r="C4328" i="1"/>
  <c r="D4328" i="1"/>
  <c r="C4329" i="1"/>
  <c r="D4329" i="1"/>
  <c r="C4330" i="1"/>
  <c r="D4330" i="1"/>
  <c r="C4331" i="1"/>
  <c r="D4331" i="1"/>
  <c r="C4332" i="1"/>
  <c r="D4332" i="1"/>
  <c r="C4333" i="1"/>
  <c r="D4333" i="1"/>
  <c r="C4334" i="1"/>
  <c r="D4334" i="1"/>
  <c r="C4335" i="1"/>
  <c r="D4335" i="1"/>
  <c r="C4336" i="1"/>
  <c r="D4336" i="1"/>
  <c r="C4337" i="1"/>
  <c r="D4337" i="1"/>
  <c r="C4338" i="1"/>
  <c r="D4338" i="1"/>
  <c r="C4339" i="1"/>
  <c r="D4339" i="1"/>
  <c r="C4340" i="1"/>
  <c r="D4340" i="1"/>
  <c r="C4341" i="1"/>
  <c r="D4341" i="1"/>
  <c r="C4342" i="1"/>
  <c r="D4342" i="1"/>
  <c r="C4343" i="1"/>
  <c r="D4343" i="1"/>
  <c r="C4344" i="1"/>
  <c r="D4344" i="1"/>
  <c r="C4345" i="1"/>
  <c r="D4345" i="1"/>
  <c r="C4346" i="1"/>
  <c r="D4346" i="1"/>
  <c r="C4347" i="1"/>
  <c r="D4347" i="1"/>
  <c r="C4348" i="1"/>
  <c r="D4348" i="1"/>
  <c r="C4349" i="1"/>
  <c r="D4349" i="1"/>
  <c r="C4350" i="1"/>
  <c r="D4350" i="1"/>
  <c r="C4351" i="1"/>
  <c r="D4351" i="1"/>
  <c r="C4352" i="1"/>
  <c r="D4352" i="1"/>
  <c r="C4353" i="1"/>
  <c r="D4353" i="1"/>
  <c r="C4354" i="1"/>
  <c r="D4354" i="1"/>
  <c r="C4355" i="1"/>
  <c r="D4355" i="1"/>
  <c r="C4356" i="1"/>
  <c r="D4356" i="1"/>
  <c r="C4357" i="1"/>
  <c r="D4357" i="1"/>
  <c r="C4358" i="1"/>
  <c r="D4358" i="1"/>
  <c r="C4359" i="1"/>
  <c r="D4359" i="1"/>
  <c r="C4360" i="1"/>
  <c r="D4360" i="1"/>
  <c r="C4361" i="1"/>
  <c r="D4361" i="1"/>
  <c r="C4362" i="1"/>
  <c r="D4362" i="1"/>
  <c r="C4363" i="1"/>
  <c r="D4363" i="1"/>
  <c r="C4364" i="1"/>
  <c r="D4364" i="1"/>
  <c r="C4365" i="1"/>
  <c r="D4365" i="1"/>
  <c r="C4366" i="1"/>
  <c r="D4366" i="1"/>
  <c r="C4367" i="1"/>
  <c r="D4367" i="1"/>
  <c r="C4368" i="1"/>
  <c r="D4368" i="1"/>
  <c r="C4369" i="1"/>
  <c r="D4369" i="1"/>
  <c r="C4370" i="1"/>
  <c r="D4370" i="1"/>
  <c r="C4371" i="1"/>
  <c r="D4371" i="1"/>
  <c r="C4372" i="1"/>
  <c r="D4372" i="1"/>
  <c r="C4373" i="1"/>
  <c r="D4373" i="1"/>
  <c r="C4374" i="1"/>
  <c r="D4374" i="1"/>
  <c r="C4375" i="1"/>
  <c r="D4375" i="1"/>
  <c r="C4376" i="1"/>
  <c r="D4376" i="1"/>
  <c r="C4377" i="1"/>
  <c r="D4377" i="1"/>
  <c r="C4378" i="1"/>
  <c r="D4378" i="1"/>
  <c r="C4379" i="1"/>
  <c r="D4379" i="1"/>
  <c r="C4380" i="1"/>
  <c r="D4380" i="1"/>
  <c r="C4381" i="1"/>
  <c r="D4381" i="1"/>
  <c r="C4382" i="1"/>
  <c r="D4382" i="1"/>
  <c r="C4383" i="1"/>
  <c r="D4383" i="1"/>
  <c r="C4384" i="1"/>
  <c r="D4384" i="1"/>
  <c r="C4385" i="1"/>
  <c r="D4385" i="1"/>
  <c r="C4386" i="1"/>
  <c r="D4386" i="1"/>
  <c r="C4387" i="1"/>
  <c r="D4387" i="1"/>
  <c r="C4388" i="1"/>
  <c r="D4388" i="1"/>
  <c r="C4389" i="1"/>
  <c r="D4389" i="1"/>
  <c r="C4390" i="1"/>
  <c r="D4390" i="1"/>
  <c r="C4391" i="1"/>
  <c r="D4391" i="1"/>
  <c r="C4392" i="1"/>
  <c r="D4392" i="1"/>
  <c r="C4393" i="1"/>
  <c r="D4393" i="1"/>
  <c r="C4394" i="1"/>
  <c r="D4394" i="1"/>
  <c r="C4395" i="1"/>
  <c r="D4395" i="1"/>
  <c r="C4396" i="1"/>
  <c r="D4396" i="1"/>
  <c r="C4397" i="1"/>
  <c r="D4397" i="1"/>
  <c r="C4398" i="1"/>
  <c r="D4398" i="1"/>
  <c r="C4399" i="1"/>
  <c r="D4399" i="1"/>
  <c r="C4400" i="1"/>
  <c r="D4400" i="1"/>
  <c r="C4401" i="1"/>
  <c r="D4401" i="1"/>
  <c r="C4402" i="1"/>
  <c r="D4402" i="1"/>
  <c r="C4403" i="1"/>
  <c r="D4403" i="1"/>
  <c r="C4404" i="1"/>
  <c r="D4404" i="1"/>
  <c r="C4405" i="1"/>
  <c r="D4405" i="1"/>
  <c r="C4406" i="1"/>
  <c r="D4406" i="1"/>
  <c r="C4407" i="1"/>
  <c r="D4407" i="1"/>
  <c r="C4408" i="1"/>
  <c r="D4408" i="1"/>
  <c r="C4409" i="1"/>
  <c r="D4409" i="1"/>
  <c r="C4410" i="1"/>
  <c r="D4410" i="1"/>
  <c r="C4411" i="1"/>
  <c r="D4411" i="1"/>
  <c r="C4412" i="1"/>
  <c r="D4412" i="1"/>
  <c r="C4413" i="1"/>
  <c r="D4413" i="1"/>
  <c r="C4414" i="1"/>
  <c r="D4414" i="1"/>
  <c r="C4415" i="1"/>
  <c r="D4415" i="1"/>
  <c r="C4416" i="1"/>
  <c r="D4416" i="1"/>
  <c r="C4417" i="1"/>
  <c r="D4417" i="1"/>
  <c r="C4418" i="1"/>
  <c r="D4418" i="1"/>
  <c r="C4419" i="1"/>
  <c r="D4419" i="1"/>
  <c r="C4420" i="1"/>
  <c r="D4420" i="1"/>
  <c r="C4421" i="1"/>
  <c r="D4421" i="1"/>
  <c r="C4422" i="1"/>
  <c r="D4422" i="1"/>
  <c r="C4423" i="1"/>
  <c r="D4423" i="1"/>
  <c r="C4424" i="1"/>
  <c r="D4424" i="1"/>
  <c r="C4425" i="1"/>
  <c r="D4425" i="1"/>
  <c r="C4426" i="1"/>
  <c r="D4426" i="1"/>
  <c r="C4427" i="1"/>
  <c r="D4427" i="1"/>
  <c r="C4428" i="1"/>
  <c r="D4428" i="1"/>
  <c r="C4429" i="1"/>
  <c r="D4429" i="1"/>
  <c r="C4430" i="1"/>
  <c r="D4430" i="1"/>
  <c r="C4431" i="1"/>
  <c r="D4431" i="1"/>
  <c r="C4432" i="1"/>
  <c r="D4432" i="1"/>
  <c r="C4433" i="1"/>
  <c r="D4433" i="1"/>
  <c r="C4434" i="1"/>
  <c r="D4434" i="1"/>
  <c r="C4435" i="1"/>
  <c r="D4435" i="1"/>
  <c r="C4436" i="1"/>
  <c r="D4436" i="1"/>
  <c r="C4437" i="1"/>
  <c r="D4437" i="1"/>
  <c r="C4438" i="1"/>
  <c r="D4438" i="1"/>
  <c r="C4439" i="1"/>
  <c r="D4439" i="1"/>
  <c r="C4440" i="1"/>
  <c r="D4440" i="1"/>
  <c r="C4441" i="1"/>
  <c r="D4441" i="1"/>
  <c r="C4442" i="1"/>
  <c r="D4442" i="1"/>
  <c r="C4443" i="1"/>
  <c r="D4443" i="1"/>
  <c r="C4444" i="1"/>
  <c r="D4444" i="1"/>
  <c r="C4445" i="1"/>
  <c r="D4445" i="1"/>
  <c r="C4446" i="1"/>
  <c r="D4446" i="1"/>
  <c r="C4447" i="1"/>
  <c r="D4447" i="1"/>
  <c r="C4448" i="1"/>
  <c r="D4448" i="1"/>
  <c r="C4449" i="1"/>
  <c r="D4449" i="1"/>
  <c r="C4450" i="1"/>
  <c r="D4450" i="1"/>
  <c r="C4451" i="1"/>
  <c r="D4451" i="1"/>
  <c r="C4452" i="1"/>
  <c r="D4452" i="1"/>
  <c r="C4453" i="1"/>
  <c r="D4453" i="1"/>
  <c r="C4454" i="1"/>
  <c r="D4454" i="1"/>
  <c r="C4455" i="1"/>
  <c r="D4455" i="1"/>
  <c r="C4456" i="1"/>
  <c r="D4456" i="1"/>
  <c r="C4457" i="1"/>
  <c r="D4457" i="1"/>
  <c r="C4458" i="1"/>
  <c r="D4458" i="1"/>
  <c r="C4459" i="1"/>
  <c r="D4459" i="1"/>
  <c r="C4460" i="1"/>
  <c r="D4460" i="1"/>
  <c r="C4461" i="1"/>
  <c r="D4461" i="1"/>
  <c r="C4462" i="1"/>
  <c r="D4462" i="1"/>
  <c r="C4463" i="1"/>
  <c r="D4463" i="1"/>
  <c r="C4464" i="1"/>
  <c r="D4464" i="1"/>
  <c r="C4465" i="1"/>
  <c r="D4465" i="1"/>
  <c r="C4466" i="1"/>
  <c r="D4466" i="1"/>
  <c r="C4467" i="1"/>
  <c r="D4467" i="1"/>
  <c r="C4468" i="1"/>
  <c r="D4468" i="1"/>
  <c r="C4469" i="1"/>
  <c r="D4469" i="1"/>
  <c r="C4470" i="1"/>
  <c r="D4470" i="1"/>
  <c r="C4471" i="1"/>
  <c r="D4471" i="1"/>
  <c r="C4472" i="1"/>
  <c r="D4472" i="1"/>
  <c r="C4473" i="1"/>
  <c r="D4473" i="1"/>
  <c r="C4474" i="1"/>
  <c r="D4474" i="1"/>
  <c r="C4475" i="1"/>
  <c r="D4475" i="1"/>
  <c r="C4476" i="1"/>
  <c r="D4476" i="1"/>
  <c r="C4477" i="1"/>
  <c r="D4477" i="1"/>
  <c r="C4478" i="1"/>
  <c r="D4478" i="1"/>
  <c r="C4479" i="1"/>
  <c r="D4479" i="1"/>
  <c r="C4480" i="1"/>
  <c r="D4480" i="1"/>
  <c r="C4481" i="1"/>
  <c r="D4481" i="1"/>
  <c r="C4482" i="1"/>
  <c r="D4482" i="1"/>
  <c r="C4483" i="1"/>
  <c r="D4483" i="1"/>
  <c r="C4484" i="1"/>
  <c r="D4484" i="1"/>
  <c r="C4485" i="1"/>
  <c r="D4485" i="1"/>
  <c r="C4486" i="1"/>
  <c r="D4486" i="1"/>
  <c r="C4487" i="1"/>
  <c r="D4487" i="1"/>
  <c r="C4488" i="1"/>
  <c r="D4488" i="1"/>
  <c r="C4489" i="1"/>
  <c r="D4489" i="1"/>
  <c r="C4490" i="1"/>
  <c r="D4490" i="1"/>
  <c r="C4491" i="1"/>
  <c r="D4491" i="1"/>
  <c r="C4492" i="1"/>
  <c r="D4492" i="1"/>
  <c r="C4493" i="1"/>
  <c r="D4493" i="1"/>
  <c r="C4494" i="1"/>
  <c r="D4494" i="1"/>
  <c r="C4495" i="1"/>
  <c r="D4495" i="1"/>
  <c r="C4496" i="1"/>
  <c r="D4496" i="1"/>
  <c r="C4497" i="1"/>
  <c r="D4497" i="1"/>
  <c r="C4498" i="1"/>
  <c r="D4498" i="1"/>
  <c r="C4499" i="1"/>
  <c r="D4499" i="1"/>
  <c r="C4500" i="1"/>
  <c r="D4500" i="1"/>
  <c r="C4501" i="1"/>
  <c r="D4501" i="1"/>
  <c r="C4502" i="1"/>
  <c r="D4502" i="1"/>
  <c r="C4503" i="1"/>
  <c r="D4503" i="1"/>
  <c r="C4504" i="1"/>
  <c r="D4504" i="1"/>
  <c r="C4505" i="1"/>
  <c r="D4505" i="1"/>
  <c r="C4506" i="1"/>
  <c r="D4506" i="1"/>
  <c r="C4507" i="1"/>
  <c r="D4507" i="1"/>
  <c r="C4508" i="1"/>
  <c r="D4508" i="1"/>
  <c r="C4509" i="1"/>
  <c r="D4509" i="1"/>
  <c r="C4510" i="1"/>
  <c r="D4510" i="1"/>
  <c r="C4511" i="1"/>
  <c r="D4511" i="1"/>
  <c r="C4512" i="1"/>
  <c r="D4512" i="1"/>
  <c r="C4513" i="1"/>
  <c r="D4513" i="1"/>
  <c r="C4514" i="1"/>
  <c r="D4514" i="1"/>
  <c r="C4515" i="1"/>
  <c r="D4515" i="1"/>
  <c r="C4516" i="1"/>
  <c r="D4516" i="1"/>
  <c r="C4517" i="1"/>
  <c r="D4517" i="1"/>
  <c r="C4518" i="1"/>
  <c r="D4518" i="1"/>
  <c r="C4519" i="1"/>
  <c r="D4519" i="1"/>
  <c r="C4520" i="1"/>
  <c r="D4520" i="1"/>
  <c r="C4521" i="1"/>
  <c r="D4521" i="1"/>
  <c r="C4522" i="1"/>
  <c r="D4522" i="1"/>
  <c r="C4523" i="1"/>
  <c r="D4523" i="1"/>
  <c r="C4524" i="1"/>
  <c r="D4524" i="1"/>
  <c r="C4525" i="1"/>
  <c r="D4525" i="1"/>
  <c r="C4526" i="1"/>
  <c r="D4526" i="1"/>
  <c r="C4527" i="1"/>
  <c r="D4527" i="1"/>
  <c r="C4528" i="1"/>
  <c r="D4528" i="1"/>
  <c r="C4529" i="1"/>
  <c r="D4529" i="1"/>
  <c r="C4530" i="1"/>
  <c r="D4530" i="1"/>
  <c r="C4531" i="1"/>
  <c r="D4531" i="1"/>
  <c r="C4532" i="1"/>
  <c r="D4532" i="1"/>
  <c r="C4533" i="1"/>
  <c r="D4533" i="1"/>
  <c r="C4534" i="1"/>
  <c r="D4534" i="1"/>
  <c r="C4535" i="1"/>
  <c r="D4535" i="1"/>
  <c r="C4536" i="1"/>
  <c r="D4536" i="1"/>
  <c r="C4537" i="1"/>
  <c r="D4537" i="1"/>
  <c r="C4538" i="1"/>
  <c r="D4538" i="1"/>
  <c r="C4539" i="1"/>
  <c r="D4539" i="1"/>
  <c r="C4540" i="1"/>
  <c r="D4540" i="1"/>
  <c r="C4541" i="1"/>
  <c r="D4541" i="1"/>
  <c r="C4542" i="1"/>
  <c r="D4542" i="1"/>
  <c r="C4543" i="1"/>
  <c r="D4543" i="1"/>
  <c r="C4544" i="1"/>
  <c r="D4544" i="1"/>
  <c r="C4545" i="1"/>
  <c r="D4545" i="1"/>
  <c r="C4546" i="1"/>
  <c r="D4546" i="1"/>
  <c r="C4547" i="1"/>
  <c r="D4547" i="1"/>
  <c r="C4548" i="1"/>
  <c r="D4548" i="1"/>
  <c r="C4549" i="1"/>
  <c r="D4549" i="1"/>
  <c r="C4550" i="1"/>
  <c r="D4550" i="1"/>
  <c r="C4551" i="1"/>
  <c r="D4551" i="1"/>
  <c r="C4552" i="1"/>
  <c r="D4552" i="1"/>
  <c r="C4553" i="1"/>
  <c r="D4553" i="1"/>
  <c r="C4554" i="1"/>
  <c r="D4554" i="1"/>
  <c r="C4555" i="1"/>
  <c r="D4555" i="1"/>
  <c r="C4556" i="1"/>
  <c r="D4556" i="1"/>
  <c r="C4557" i="1"/>
  <c r="D4557" i="1"/>
  <c r="C4558" i="1"/>
  <c r="D4558" i="1"/>
  <c r="C4559" i="1"/>
  <c r="D4559" i="1"/>
  <c r="C4560" i="1"/>
  <c r="D4560" i="1"/>
  <c r="C4561" i="1"/>
  <c r="D4561" i="1"/>
  <c r="C4562" i="1"/>
  <c r="D4562" i="1"/>
  <c r="C4563" i="1"/>
  <c r="D4563" i="1"/>
  <c r="C4564" i="1"/>
  <c r="D4564" i="1"/>
  <c r="C4565" i="1"/>
  <c r="D4565" i="1"/>
  <c r="C4566" i="1"/>
  <c r="D4566" i="1"/>
  <c r="C4567" i="1"/>
  <c r="D4567" i="1"/>
  <c r="C4568" i="1"/>
  <c r="D4568" i="1"/>
  <c r="C4569" i="1"/>
  <c r="D4569" i="1"/>
  <c r="C4570" i="1"/>
  <c r="D4570" i="1"/>
  <c r="C4571" i="1"/>
  <c r="D4571" i="1"/>
  <c r="C4572" i="1"/>
  <c r="D4572" i="1"/>
  <c r="C4573" i="1"/>
  <c r="D4573" i="1"/>
  <c r="C4574" i="1"/>
  <c r="D4574" i="1"/>
  <c r="C4575" i="1"/>
  <c r="D4575" i="1"/>
  <c r="C4576" i="1"/>
  <c r="D4576" i="1"/>
  <c r="C4577" i="1"/>
  <c r="D4577" i="1"/>
  <c r="C4578" i="1"/>
  <c r="D4578" i="1"/>
  <c r="C4579" i="1"/>
  <c r="D4579" i="1"/>
  <c r="C4580" i="1"/>
  <c r="D4580" i="1"/>
  <c r="C4581" i="1"/>
  <c r="D4581" i="1"/>
  <c r="C4582" i="1"/>
  <c r="D4582" i="1"/>
  <c r="C4583" i="1"/>
  <c r="D4583" i="1"/>
  <c r="C4584" i="1"/>
  <c r="D4584" i="1"/>
  <c r="C4585" i="1"/>
  <c r="D4585" i="1"/>
  <c r="C4586" i="1"/>
  <c r="D4586" i="1"/>
  <c r="C4587" i="1"/>
  <c r="D4587" i="1"/>
  <c r="C4588" i="1"/>
  <c r="D4588" i="1"/>
  <c r="C4589" i="1"/>
  <c r="D4589" i="1"/>
  <c r="C4590" i="1"/>
  <c r="D4590" i="1"/>
  <c r="C4591" i="1"/>
  <c r="D4591" i="1"/>
  <c r="C4592" i="1"/>
  <c r="D4592" i="1"/>
  <c r="C4593" i="1"/>
  <c r="D4593" i="1"/>
  <c r="C4594" i="1"/>
  <c r="D4594" i="1"/>
  <c r="C4595" i="1"/>
  <c r="D4595" i="1"/>
  <c r="C4596" i="1"/>
  <c r="D4596" i="1"/>
  <c r="C4597" i="1"/>
  <c r="D4597" i="1"/>
  <c r="C4598" i="1"/>
  <c r="D4598" i="1"/>
  <c r="C4599" i="1"/>
  <c r="D4599" i="1"/>
  <c r="C4600" i="1"/>
  <c r="D4600" i="1"/>
  <c r="C4601" i="1"/>
  <c r="D4601" i="1"/>
  <c r="C4602" i="1"/>
  <c r="D4602" i="1"/>
  <c r="C4603" i="1"/>
  <c r="D4603" i="1"/>
  <c r="C4604" i="1"/>
  <c r="D4604" i="1"/>
  <c r="C4605" i="1"/>
  <c r="D4605" i="1"/>
  <c r="C4606" i="1"/>
  <c r="D4606" i="1"/>
  <c r="C4607" i="1"/>
  <c r="D4607" i="1"/>
  <c r="C4608" i="1"/>
  <c r="D4608" i="1"/>
  <c r="C4609" i="1"/>
  <c r="D4609" i="1"/>
  <c r="C4610" i="1"/>
  <c r="D4610" i="1"/>
  <c r="C4611" i="1"/>
  <c r="D4611" i="1"/>
  <c r="C4612" i="1"/>
  <c r="D4612" i="1"/>
  <c r="C4613" i="1"/>
  <c r="D4613" i="1"/>
  <c r="C4614" i="1"/>
  <c r="D4614" i="1"/>
  <c r="C4615" i="1"/>
  <c r="D4615" i="1"/>
  <c r="C4616" i="1"/>
  <c r="D4616" i="1"/>
  <c r="C4617" i="1"/>
  <c r="D4617" i="1"/>
  <c r="C4618" i="1"/>
  <c r="D4618" i="1"/>
  <c r="C4619" i="1"/>
  <c r="D4619" i="1"/>
  <c r="C4620" i="1"/>
  <c r="D4620" i="1"/>
  <c r="C4621" i="1"/>
  <c r="D4621" i="1"/>
  <c r="C4622" i="1"/>
  <c r="D4622" i="1"/>
  <c r="C4623" i="1"/>
  <c r="D4623" i="1"/>
  <c r="C4624" i="1"/>
  <c r="D4624" i="1"/>
  <c r="C4625" i="1"/>
  <c r="D4625" i="1"/>
  <c r="C4626" i="1"/>
  <c r="D4626" i="1"/>
  <c r="C4627" i="1"/>
  <c r="D4627" i="1"/>
  <c r="C4628" i="1"/>
  <c r="D4628" i="1"/>
  <c r="C4629" i="1"/>
  <c r="D4629" i="1"/>
  <c r="C4630" i="1"/>
  <c r="D4630" i="1"/>
  <c r="C4631" i="1"/>
  <c r="D4631" i="1"/>
  <c r="C4632" i="1"/>
  <c r="D4632" i="1"/>
  <c r="C4633" i="1"/>
  <c r="D4633" i="1"/>
  <c r="C4634" i="1"/>
  <c r="D4634" i="1"/>
  <c r="C4635" i="1"/>
  <c r="D4635" i="1"/>
  <c r="C4636" i="1"/>
  <c r="D4636" i="1"/>
  <c r="C4637" i="1"/>
  <c r="D4637" i="1"/>
  <c r="C4638" i="1"/>
  <c r="D4638" i="1"/>
  <c r="C4639" i="1"/>
  <c r="D4639" i="1"/>
  <c r="C4640" i="1"/>
  <c r="D4640" i="1"/>
  <c r="C4641" i="1"/>
  <c r="D4641" i="1"/>
  <c r="C4642" i="1"/>
  <c r="D4642" i="1"/>
  <c r="C4643" i="1"/>
  <c r="D4643" i="1"/>
  <c r="C4644" i="1"/>
  <c r="D4644" i="1"/>
  <c r="C4645" i="1"/>
  <c r="D4645" i="1"/>
  <c r="C4646" i="1"/>
  <c r="D4646" i="1"/>
  <c r="C4647" i="1"/>
  <c r="D4647" i="1"/>
  <c r="C4648" i="1"/>
  <c r="D4648" i="1"/>
  <c r="C4649" i="1"/>
  <c r="D4649" i="1"/>
  <c r="C4650" i="1"/>
  <c r="D4650" i="1"/>
  <c r="C4651" i="1"/>
  <c r="D4651" i="1"/>
  <c r="C4652" i="1"/>
  <c r="D4652" i="1"/>
  <c r="C4653" i="1"/>
  <c r="D4653" i="1"/>
  <c r="C4654" i="1"/>
  <c r="D4654" i="1"/>
  <c r="C4655" i="1"/>
  <c r="D4655" i="1"/>
  <c r="C4656" i="1"/>
  <c r="D4656" i="1"/>
  <c r="C4657" i="1"/>
  <c r="D4657" i="1"/>
  <c r="C4658" i="1"/>
  <c r="D4658" i="1"/>
  <c r="C4659" i="1"/>
  <c r="D4659" i="1"/>
  <c r="C4660" i="1"/>
  <c r="D4660" i="1"/>
  <c r="C4661" i="1"/>
  <c r="D4661" i="1"/>
  <c r="C4662" i="1"/>
  <c r="D4662" i="1"/>
  <c r="C4663" i="1"/>
  <c r="D4663" i="1"/>
  <c r="C4664" i="1"/>
  <c r="D4664" i="1"/>
  <c r="C4665" i="1"/>
  <c r="D4665" i="1"/>
  <c r="C4666" i="1"/>
  <c r="D4666" i="1"/>
  <c r="C4667" i="1"/>
  <c r="D4667" i="1"/>
  <c r="C4668" i="1"/>
  <c r="D4668" i="1"/>
  <c r="C4669" i="1"/>
  <c r="D4669" i="1"/>
  <c r="C4670" i="1"/>
  <c r="D4670" i="1"/>
  <c r="C4671" i="1"/>
  <c r="D4671" i="1"/>
  <c r="C4672" i="1"/>
  <c r="D4672" i="1"/>
  <c r="C4673" i="1"/>
  <c r="D4673" i="1"/>
  <c r="C4674" i="1"/>
  <c r="D4674" i="1"/>
  <c r="C4675" i="1"/>
  <c r="D4675" i="1"/>
  <c r="C4676" i="1"/>
  <c r="D4676" i="1"/>
  <c r="C4677" i="1"/>
  <c r="D4677" i="1"/>
  <c r="C4678" i="1"/>
  <c r="D4678" i="1"/>
  <c r="C4679" i="1"/>
  <c r="D4679" i="1"/>
  <c r="C4680" i="1"/>
  <c r="D4680" i="1"/>
  <c r="C4681" i="1"/>
  <c r="D4681" i="1"/>
  <c r="C4682" i="1"/>
  <c r="D4682" i="1"/>
  <c r="C4683" i="1"/>
  <c r="D4683" i="1"/>
  <c r="C4684" i="1"/>
  <c r="D4684" i="1"/>
  <c r="C4685" i="1"/>
  <c r="D4685" i="1"/>
  <c r="C4686" i="1"/>
  <c r="D4686" i="1"/>
  <c r="C4687" i="1"/>
  <c r="D4687" i="1"/>
  <c r="C4688" i="1"/>
  <c r="D4688" i="1"/>
  <c r="C4689" i="1"/>
  <c r="D4689" i="1"/>
  <c r="C4690" i="1"/>
  <c r="D4690" i="1"/>
  <c r="C4691" i="1"/>
  <c r="D4691" i="1"/>
  <c r="C4692" i="1"/>
  <c r="D4692" i="1"/>
  <c r="C4693" i="1"/>
  <c r="D4693" i="1"/>
  <c r="C4694" i="1"/>
  <c r="D4694" i="1"/>
  <c r="C4695" i="1"/>
  <c r="D4695" i="1"/>
  <c r="C4696" i="1"/>
  <c r="D4696" i="1"/>
  <c r="C4697" i="1"/>
  <c r="D4697" i="1"/>
  <c r="C4698" i="1"/>
  <c r="D4698" i="1"/>
  <c r="C4699" i="1"/>
  <c r="D4699" i="1"/>
  <c r="C4700" i="1"/>
  <c r="D4700" i="1"/>
  <c r="C4701" i="1"/>
  <c r="D4701" i="1"/>
  <c r="C4702" i="1"/>
  <c r="D4702" i="1"/>
  <c r="C4703" i="1"/>
  <c r="D4703" i="1"/>
  <c r="C4704" i="1"/>
  <c r="D4704" i="1"/>
  <c r="C4705" i="1"/>
  <c r="D4705" i="1"/>
  <c r="C4706" i="1"/>
  <c r="D4706" i="1"/>
  <c r="C4707" i="1"/>
  <c r="D4707" i="1"/>
  <c r="C4708" i="1"/>
  <c r="D4708" i="1"/>
  <c r="C4709" i="1"/>
  <c r="D4709" i="1"/>
  <c r="C4710" i="1"/>
  <c r="D4710" i="1"/>
  <c r="C4711" i="1"/>
  <c r="D4711" i="1"/>
  <c r="C4712" i="1"/>
  <c r="D4712" i="1"/>
  <c r="C4713" i="1"/>
  <c r="D4713" i="1"/>
  <c r="C4714" i="1"/>
  <c r="D4714" i="1"/>
  <c r="C4715" i="1"/>
  <c r="D4715" i="1"/>
  <c r="C4716" i="1"/>
  <c r="D4716" i="1"/>
  <c r="C4717" i="1"/>
  <c r="D4717" i="1"/>
  <c r="C4718" i="1"/>
  <c r="D4718" i="1"/>
  <c r="C4719" i="1"/>
  <c r="D4719" i="1"/>
  <c r="C4720" i="1"/>
  <c r="D4720" i="1"/>
  <c r="C4721" i="1"/>
  <c r="D4721" i="1"/>
  <c r="C4722" i="1"/>
  <c r="D4722" i="1"/>
  <c r="C4723" i="1"/>
  <c r="D4723" i="1"/>
  <c r="C4724" i="1"/>
  <c r="D4724" i="1"/>
  <c r="C4725" i="1"/>
  <c r="D4725" i="1"/>
  <c r="C4726" i="1"/>
  <c r="D4726" i="1"/>
  <c r="C4727" i="1"/>
  <c r="D4727" i="1"/>
  <c r="C4728" i="1"/>
  <c r="D4728" i="1"/>
  <c r="C4729" i="1"/>
  <c r="D4729" i="1"/>
  <c r="C4730" i="1"/>
  <c r="D4730" i="1"/>
  <c r="C4731" i="1"/>
  <c r="D4731" i="1"/>
  <c r="C4732" i="1"/>
  <c r="D4732" i="1"/>
  <c r="C4733" i="1"/>
  <c r="D4733" i="1"/>
  <c r="C4734" i="1"/>
  <c r="D4734" i="1"/>
  <c r="C4735" i="1"/>
  <c r="D4735" i="1"/>
  <c r="C4736" i="1"/>
  <c r="D4736" i="1"/>
  <c r="C4737" i="1"/>
  <c r="D4737" i="1"/>
  <c r="C4738" i="1"/>
  <c r="D4738" i="1"/>
  <c r="C4739" i="1"/>
  <c r="D4739" i="1"/>
  <c r="C4740" i="1"/>
  <c r="D4740" i="1"/>
  <c r="C4741" i="1"/>
  <c r="D4741" i="1"/>
  <c r="C4742" i="1"/>
  <c r="D4742" i="1"/>
  <c r="C4743" i="1"/>
  <c r="D4743" i="1"/>
  <c r="C4744" i="1"/>
  <c r="D4744" i="1"/>
  <c r="C4745" i="1"/>
  <c r="D4745" i="1"/>
  <c r="C4746" i="1"/>
  <c r="D4746" i="1"/>
  <c r="C4747" i="1"/>
  <c r="D4747" i="1"/>
  <c r="C4748" i="1"/>
  <c r="D4748" i="1"/>
  <c r="C4749" i="1"/>
  <c r="D4749" i="1"/>
  <c r="C4750" i="1"/>
  <c r="D4750" i="1"/>
  <c r="C4751" i="1"/>
  <c r="D4751" i="1"/>
  <c r="C4752" i="1"/>
  <c r="D4752" i="1"/>
  <c r="C4753" i="1"/>
  <c r="D4753" i="1"/>
  <c r="C4754" i="1"/>
  <c r="D4754" i="1"/>
  <c r="C4755" i="1"/>
  <c r="D4755" i="1"/>
  <c r="C4756" i="1"/>
  <c r="D4756" i="1"/>
  <c r="C4757" i="1"/>
  <c r="D4757" i="1"/>
  <c r="C4758" i="1"/>
  <c r="D4758" i="1"/>
  <c r="C4759" i="1"/>
  <c r="D4759" i="1"/>
  <c r="C4760" i="1"/>
  <c r="D4760" i="1"/>
  <c r="C4761" i="1"/>
  <c r="D4761" i="1"/>
  <c r="C4762" i="1"/>
  <c r="D4762" i="1"/>
  <c r="C4763" i="1"/>
  <c r="D4763" i="1"/>
  <c r="C4764" i="1"/>
  <c r="D4764" i="1"/>
  <c r="C4765" i="1"/>
  <c r="D4765" i="1"/>
  <c r="C4766" i="1"/>
  <c r="D4766" i="1"/>
  <c r="C4767" i="1"/>
  <c r="D4767" i="1"/>
  <c r="C4768" i="1"/>
  <c r="D4768" i="1"/>
  <c r="C4769" i="1"/>
  <c r="D4769" i="1"/>
  <c r="C4770" i="1"/>
  <c r="D4770" i="1"/>
  <c r="C4771" i="1"/>
  <c r="D4771" i="1"/>
  <c r="C4772" i="1"/>
  <c r="D4772" i="1"/>
  <c r="C4773" i="1"/>
  <c r="D4773" i="1"/>
  <c r="C4774" i="1"/>
  <c r="D4774" i="1"/>
  <c r="C4775" i="1"/>
  <c r="D4775" i="1"/>
  <c r="C4776" i="1"/>
  <c r="D4776" i="1"/>
  <c r="C4777" i="1"/>
  <c r="D4777" i="1"/>
  <c r="C4778" i="1"/>
  <c r="D4778" i="1"/>
  <c r="C4779" i="1"/>
  <c r="D4779" i="1"/>
  <c r="C4780" i="1"/>
  <c r="D4780" i="1"/>
  <c r="C4781" i="1"/>
  <c r="D4781" i="1"/>
  <c r="C4782" i="1"/>
  <c r="D4782" i="1"/>
  <c r="C4783" i="1"/>
  <c r="D4783" i="1"/>
  <c r="C4784" i="1"/>
  <c r="D4784" i="1"/>
  <c r="C4785" i="1"/>
  <c r="D4785" i="1"/>
  <c r="C4786" i="1"/>
  <c r="D4786" i="1"/>
  <c r="C4787" i="1"/>
  <c r="D4787" i="1"/>
  <c r="C4788" i="1"/>
  <c r="D4788" i="1"/>
  <c r="C4789" i="1"/>
  <c r="D4789" i="1"/>
  <c r="C4790" i="1"/>
  <c r="D4790" i="1"/>
  <c r="C4791" i="1"/>
  <c r="D4791" i="1"/>
  <c r="C4792" i="1"/>
  <c r="D4792" i="1"/>
  <c r="C4793" i="1"/>
  <c r="D4793" i="1"/>
  <c r="C4794" i="1"/>
  <c r="D4794" i="1"/>
  <c r="C4795" i="1"/>
  <c r="D4795" i="1"/>
  <c r="C4796" i="1"/>
  <c r="D4796" i="1"/>
  <c r="C4797" i="1"/>
  <c r="D4797" i="1"/>
  <c r="C4798" i="1"/>
  <c r="D4798" i="1"/>
  <c r="C4799" i="1"/>
  <c r="D4799" i="1"/>
  <c r="C4800" i="1"/>
  <c r="D4800" i="1"/>
  <c r="C4801" i="1"/>
  <c r="D4801" i="1"/>
  <c r="C4802" i="1"/>
  <c r="D4802" i="1"/>
  <c r="C4803" i="1"/>
  <c r="D4803" i="1"/>
  <c r="C4804" i="1"/>
  <c r="D4804" i="1"/>
  <c r="C4805" i="1"/>
  <c r="D4805" i="1"/>
  <c r="C4806" i="1"/>
  <c r="D4806" i="1"/>
  <c r="C4807" i="1"/>
  <c r="D4807" i="1"/>
  <c r="C4808" i="1"/>
  <c r="D4808" i="1"/>
  <c r="C4809" i="1"/>
  <c r="D4809" i="1"/>
  <c r="C4810" i="1"/>
  <c r="D4810" i="1"/>
  <c r="C4811" i="1"/>
  <c r="D4811" i="1"/>
  <c r="C4812" i="1"/>
  <c r="D4812" i="1"/>
  <c r="C4813" i="1"/>
  <c r="D4813" i="1"/>
  <c r="C4814" i="1"/>
  <c r="D4814" i="1"/>
  <c r="C4815" i="1"/>
  <c r="D4815" i="1"/>
  <c r="C4816" i="1"/>
  <c r="D4816" i="1"/>
  <c r="C4817" i="1"/>
  <c r="D4817" i="1"/>
  <c r="C4818" i="1"/>
  <c r="D4818" i="1"/>
  <c r="C4819" i="1"/>
  <c r="D4819" i="1"/>
  <c r="C4820" i="1"/>
  <c r="D4820" i="1"/>
  <c r="C4821" i="1"/>
  <c r="D4821" i="1"/>
  <c r="C4822" i="1"/>
  <c r="D4822" i="1"/>
  <c r="C4823" i="1"/>
  <c r="D4823" i="1"/>
  <c r="C4824" i="1"/>
  <c r="D4824" i="1"/>
  <c r="C4825" i="1"/>
  <c r="D4825" i="1"/>
  <c r="C4826" i="1"/>
  <c r="D4826" i="1"/>
  <c r="C4827" i="1"/>
  <c r="D4827" i="1"/>
  <c r="C4828" i="1"/>
  <c r="D4828" i="1"/>
  <c r="C4829" i="1"/>
  <c r="D4829" i="1"/>
  <c r="C4830" i="1"/>
  <c r="D4830" i="1"/>
  <c r="C4831" i="1"/>
  <c r="D4831" i="1"/>
  <c r="C4832" i="1"/>
  <c r="D4832" i="1"/>
  <c r="C4833" i="1"/>
  <c r="D4833" i="1"/>
  <c r="C4834" i="1"/>
  <c r="D4834" i="1"/>
  <c r="C4835" i="1"/>
  <c r="D4835" i="1"/>
  <c r="C4836" i="1"/>
  <c r="D4836" i="1"/>
  <c r="C4837" i="1"/>
  <c r="D4837" i="1"/>
  <c r="C4838" i="1"/>
  <c r="D4838" i="1"/>
  <c r="C4839" i="1"/>
  <c r="D4839" i="1"/>
  <c r="C4840" i="1"/>
  <c r="D4840" i="1"/>
  <c r="C4841" i="1"/>
  <c r="D4841" i="1"/>
  <c r="C4842" i="1"/>
  <c r="D4842" i="1"/>
  <c r="C4843" i="1"/>
  <c r="D4843" i="1"/>
  <c r="C4844" i="1"/>
  <c r="D4844" i="1"/>
  <c r="C4845" i="1"/>
  <c r="D4845" i="1"/>
  <c r="C4846" i="1"/>
  <c r="D4846" i="1"/>
  <c r="C4847" i="1"/>
  <c r="D4847" i="1"/>
  <c r="C4848" i="1"/>
  <c r="D4848" i="1"/>
  <c r="C4849" i="1"/>
  <c r="D4849" i="1"/>
  <c r="C4850" i="1"/>
  <c r="D4850" i="1"/>
  <c r="C4851" i="1"/>
  <c r="D4851" i="1"/>
  <c r="C4852" i="1"/>
  <c r="D4852" i="1"/>
  <c r="C4853" i="1"/>
  <c r="D4853" i="1"/>
  <c r="C4854" i="1"/>
  <c r="D4854" i="1"/>
  <c r="C4855" i="1"/>
  <c r="D4855" i="1"/>
  <c r="C4856" i="1"/>
  <c r="D4856" i="1"/>
  <c r="C4857" i="1"/>
  <c r="D4857" i="1"/>
  <c r="C4858" i="1"/>
  <c r="D4858" i="1"/>
  <c r="C4859" i="1"/>
  <c r="D4859" i="1"/>
  <c r="C4860" i="1"/>
  <c r="D4860" i="1"/>
  <c r="C4861" i="1"/>
  <c r="D4861" i="1"/>
  <c r="C4862" i="1"/>
  <c r="D4862" i="1"/>
  <c r="C4863" i="1"/>
  <c r="D4863" i="1"/>
  <c r="C4864" i="1"/>
  <c r="D4864" i="1"/>
  <c r="C4865" i="1"/>
  <c r="D4865" i="1"/>
  <c r="C4866" i="1"/>
  <c r="D4866" i="1"/>
  <c r="C4867" i="1"/>
  <c r="D4867" i="1"/>
  <c r="C4868" i="1"/>
  <c r="D4868" i="1"/>
  <c r="C4869" i="1"/>
  <c r="D4869" i="1"/>
  <c r="C4870" i="1"/>
  <c r="D4870" i="1"/>
  <c r="C4871" i="1"/>
  <c r="D4871" i="1"/>
  <c r="C4872" i="1"/>
  <c r="D4872" i="1"/>
  <c r="C4873" i="1"/>
  <c r="D4873" i="1"/>
  <c r="C4874" i="1"/>
  <c r="D4874" i="1"/>
  <c r="C4875" i="1"/>
  <c r="D4875" i="1"/>
  <c r="C4876" i="1"/>
  <c r="D4876" i="1"/>
  <c r="C4877" i="1"/>
  <c r="D4877" i="1"/>
  <c r="C4878" i="1"/>
  <c r="D4878" i="1"/>
  <c r="C4879" i="1"/>
  <c r="D4879" i="1"/>
  <c r="C4880" i="1"/>
  <c r="D4880" i="1"/>
  <c r="C4881" i="1"/>
  <c r="D4881" i="1"/>
  <c r="C4882" i="1"/>
  <c r="D4882" i="1"/>
  <c r="C4883" i="1"/>
  <c r="D4883" i="1"/>
  <c r="C4884" i="1"/>
  <c r="D4884" i="1"/>
  <c r="C4885" i="1"/>
  <c r="D4885" i="1"/>
  <c r="C4886" i="1"/>
  <c r="D4886" i="1"/>
  <c r="C4887" i="1"/>
  <c r="D4887" i="1"/>
  <c r="C4888" i="1"/>
  <c r="D4888" i="1"/>
  <c r="C4889" i="1"/>
  <c r="D4889" i="1"/>
  <c r="C4890" i="1"/>
  <c r="D4890" i="1"/>
  <c r="C4891" i="1"/>
  <c r="D4891" i="1"/>
  <c r="C4892" i="1"/>
  <c r="D4892" i="1"/>
  <c r="C4893" i="1"/>
  <c r="D4893" i="1"/>
  <c r="C4894" i="1"/>
  <c r="D4894" i="1"/>
  <c r="C4895" i="1"/>
  <c r="D4895" i="1"/>
  <c r="C4896" i="1"/>
  <c r="D4896" i="1"/>
  <c r="C4897" i="1"/>
  <c r="D4897" i="1"/>
  <c r="C4898" i="1"/>
  <c r="D4898" i="1"/>
  <c r="C4899" i="1"/>
  <c r="D4899" i="1"/>
  <c r="C4900" i="1"/>
  <c r="D4900" i="1"/>
  <c r="C4901" i="1"/>
  <c r="D4901" i="1"/>
  <c r="C4902" i="1"/>
  <c r="D4902" i="1"/>
  <c r="C4903" i="1"/>
  <c r="D4903" i="1"/>
  <c r="C4904" i="1"/>
  <c r="D4904" i="1"/>
  <c r="C4905" i="1"/>
  <c r="D4905" i="1"/>
  <c r="C4906" i="1"/>
  <c r="D4906" i="1"/>
  <c r="C4907" i="1"/>
  <c r="D4907" i="1"/>
  <c r="C4908" i="1"/>
  <c r="D4908" i="1"/>
  <c r="C4909" i="1"/>
  <c r="D4909" i="1"/>
  <c r="C4910" i="1"/>
  <c r="D4910" i="1"/>
  <c r="C4911" i="1"/>
  <c r="D4911" i="1"/>
  <c r="C4912" i="1"/>
  <c r="D4912" i="1"/>
  <c r="C4913" i="1"/>
  <c r="D4913" i="1"/>
  <c r="C4914" i="1"/>
  <c r="D4914" i="1"/>
  <c r="C4915" i="1"/>
  <c r="D4915" i="1"/>
  <c r="C4916" i="1"/>
  <c r="D4916" i="1"/>
  <c r="C4917" i="1"/>
  <c r="D4917" i="1"/>
  <c r="C4918" i="1"/>
  <c r="D4918" i="1"/>
  <c r="C4919" i="1"/>
  <c r="D4919" i="1"/>
  <c r="C4920" i="1"/>
  <c r="D4920" i="1"/>
  <c r="C4921" i="1"/>
  <c r="D4921" i="1"/>
  <c r="C4922" i="1"/>
  <c r="D4922" i="1"/>
  <c r="C4923" i="1"/>
  <c r="D4923" i="1"/>
  <c r="C4924" i="1"/>
  <c r="D4924" i="1"/>
  <c r="C4925" i="1"/>
  <c r="D4925" i="1"/>
  <c r="C4926" i="1"/>
  <c r="D4926" i="1"/>
  <c r="C4927" i="1"/>
  <c r="D4927" i="1"/>
  <c r="C4928" i="1"/>
  <c r="D4928" i="1"/>
  <c r="C4929" i="1"/>
  <c r="D4929" i="1"/>
  <c r="C4930" i="1"/>
  <c r="D4930" i="1"/>
  <c r="C4931" i="1"/>
  <c r="D4931" i="1"/>
  <c r="C4932" i="1"/>
  <c r="D4932" i="1"/>
  <c r="C4933" i="1"/>
  <c r="D4933" i="1"/>
  <c r="C4934" i="1"/>
  <c r="D4934" i="1"/>
  <c r="C4935" i="1"/>
  <c r="D4935" i="1"/>
  <c r="C4936" i="1"/>
  <c r="D4936" i="1"/>
  <c r="C4937" i="1"/>
  <c r="D4937" i="1"/>
  <c r="C4938" i="1"/>
  <c r="D4938" i="1"/>
  <c r="C4939" i="1"/>
  <c r="D4939" i="1"/>
  <c r="C4940" i="1"/>
  <c r="D4940" i="1"/>
  <c r="C4941" i="1"/>
  <c r="D4941" i="1"/>
  <c r="C4942" i="1"/>
  <c r="D4942" i="1"/>
  <c r="C4943" i="1"/>
  <c r="D4943" i="1"/>
  <c r="C4944" i="1"/>
  <c r="D4944" i="1"/>
  <c r="C4945" i="1"/>
  <c r="D4945" i="1"/>
  <c r="C4946" i="1"/>
  <c r="D4946" i="1"/>
  <c r="C4947" i="1"/>
  <c r="D4947" i="1"/>
  <c r="C4948" i="1"/>
  <c r="D4948" i="1"/>
  <c r="C4949" i="1"/>
  <c r="D4949" i="1"/>
  <c r="C4950" i="1"/>
  <c r="D4950" i="1"/>
  <c r="C4951" i="1"/>
  <c r="D4951" i="1"/>
  <c r="C4952" i="1"/>
  <c r="D4952" i="1"/>
  <c r="C4953" i="1"/>
  <c r="D4953" i="1"/>
  <c r="C4954" i="1"/>
  <c r="D4954" i="1"/>
  <c r="C4955" i="1"/>
  <c r="D4955" i="1"/>
  <c r="C4956" i="1"/>
  <c r="D4956" i="1"/>
  <c r="C4958" i="1"/>
  <c r="D4958" i="1"/>
  <c r="C4959" i="1"/>
  <c r="D4959" i="1"/>
  <c r="C4960" i="1"/>
  <c r="D4960" i="1"/>
  <c r="C4961" i="1"/>
  <c r="D4961" i="1"/>
  <c r="C4962" i="1"/>
  <c r="D4962" i="1"/>
  <c r="C4963" i="1"/>
  <c r="D4963" i="1"/>
  <c r="C4964" i="1"/>
  <c r="D4964" i="1"/>
  <c r="C4965" i="1"/>
  <c r="D4965" i="1"/>
  <c r="C4966" i="1"/>
  <c r="D4966" i="1"/>
  <c r="C4967" i="1"/>
  <c r="D4967" i="1"/>
  <c r="C4968" i="1"/>
  <c r="D4968" i="1"/>
  <c r="C4969" i="1"/>
  <c r="D4969" i="1"/>
  <c r="C4970" i="1"/>
  <c r="D4970" i="1"/>
  <c r="C4971" i="1"/>
  <c r="D4971" i="1"/>
  <c r="C4972" i="1"/>
  <c r="D4972" i="1"/>
  <c r="C4973" i="1"/>
  <c r="D4973" i="1"/>
  <c r="C4974" i="1"/>
  <c r="D4974" i="1"/>
  <c r="C4975" i="1"/>
  <c r="D4975" i="1"/>
  <c r="C4976" i="1"/>
  <c r="D4976" i="1"/>
  <c r="C4977" i="1"/>
  <c r="D4977" i="1"/>
  <c r="C4978" i="1"/>
  <c r="D4978" i="1"/>
  <c r="C4979" i="1"/>
  <c r="D4979" i="1"/>
  <c r="C4980" i="1"/>
  <c r="D4980" i="1"/>
  <c r="C4981" i="1"/>
  <c r="D4981" i="1"/>
  <c r="C4982" i="1"/>
  <c r="D4982" i="1"/>
  <c r="C4983" i="1"/>
  <c r="D4983" i="1"/>
  <c r="C4984" i="1"/>
  <c r="D4984" i="1"/>
  <c r="C4985" i="1"/>
  <c r="D4985" i="1"/>
  <c r="C4986" i="1"/>
  <c r="D4986" i="1"/>
  <c r="C4987" i="1"/>
  <c r="D4987" i="1"/>
  <c r="C4988" i="1"/>
  <c r="D4988" i="1"/>
  <c r="C4989" i="1"/>
  <c r="D4989" i="1"/>
  <c r="C4990" i="1"/>
  <c r="D4990" i="1"/>
  <c r="C4991" i="1"/>
  <c r="D4991" i="1"/>
  <c r="C4992" i="1"/>
  <c r="D4992" i="1"/>
  <c r="C4993" i="1"/>
  <c r="D4993" i="1"/>
  <c r="C4994" i="1"/>
  <c r="D4994" i="1"/>
  <c r="C4995" i="1"/>
  <c r="D4995" i="1"/>
  <c r="C4996" i="1"/>
  <c r="D4996" i="1"/>
  <c r="C4997" i="1"/>
  <c r="D4997" i="1"/>
  <c r="C4998" i="1"/>
  <c r="D4998" i="1"/>
  <c r="C4999" i="1"/>
  <c r="D4999" i="1"/>
  <c r="C5000" i="1"/>
  <c r="D5000" i="1"/>
  <c r="C5001" i="1"/>
  <c r="D5001" i="1"/>
  <c r="C5002" i="1"/>
  <c r="D5002" i="1"/>
  <c r="C5003" i="1"/>
  <c r="D5003" i="1"/>
  <c r="C5004" i="1"/>
  <c r="D5004" i="1"/>
  <c r="C5005" i="1"/>
  <c r="D5005" i="1"/>
  <c r="C5006" i="1"/>
  <c r="D5006" i="1"/>
  <c r="C5007" i="1"/>
  <c r="D5007" i="1"/>
  <c r="C5008" i="1"/>
  <c r="D5008" i="1"/>
  <c r="C5009" i="1"/>
  <c r="D5009" i="1"/>
  <c r="C5010" i="1"/>
  <c r="D5010" i="1"/>
  <c r="C5011" i="1"/>
  <c r="D5011" i="1"/>
  <c r="C5012" i="1"/>
  <c r="D5012" i="1"/>
  <c r="C5013" i="1"/>
  <c r="D5013" i="1"/>
  <c r="C5014" i="1"/>
  <c r="D5014" i="1"/>
  <c r="C5015" i="1"/>
  <c r="D5015" i="1"/>
  <c r="C5016" i="1"/>
  <c r="D5016" i="1"/>
  <c r="C5017" i="1"/>
  <c r="D5017" i="1"/>
  <c r="C5018" i="1"/>
  <c r="D5018" i="1"/>
  <c r="C5019" i="1"/>
  <c r="D5019" i="1"/>
  <c r="C5020" i="1"/>
  <c r="D5020" i="1"/>
  <c r="C5021" i="1"/>
  <c r="D5021" i="1"/>
  <c r="C5022" i="1"/>
  <c r="D5022" i="1"/>
  <c r="C5023" i="1"/>
  <c r="D5023" i="1"/>
  <c r="C5024" i="1"/>
  <c r="D5024" i="1"/>
  <c r="C5025" i="1"/>
  <c r="D5025" i="1"/>
  <c r="C5026" i="1"/>
  <c r="D5026" i="1"/>
  <c r="C5027" i="1"/>
  <c r="D5027" i="1"/>
  <c r="C5028" i="1"/>
  <c r="D5028" i="1"/>
  <c r="C5029" i="1"/>
  <c r="D5029" i="1"/>
  <c r="C5030" i="1"/>
  <c r="D5030" i="1"/>
  <c r="C5031" i="1"/>
  <c r="D5031" i="1"/>
  <c r="C5032" i="1"/>
  <c r="D5032" i="1"/>
  <c r="C5033" i="1"/>
  <c r="D5033" i="1"/>
  <c r="C5034" i="1"/>
  <c r="D5034" i="1"/>
  <c r="C5035" i="1"/>
  <c r="D5035" i="1"/>
  <c r="C5036" i="1"/>
  <c r="D5036" i="1"/>
  <c r="C5037" i="1"/>
  <c r="D5037" i="1"/>
  <c r="C5038" i="1"/>
  <c r="D5038" i="1"/>
  <c r="C5039" i="1"/>
  <c r="D5039" i="1"/>
  <c r="C5040" i="1"/>
  <c r="D5040" i="1"/>
  <c r="C5041" i="1"/>
  <c r="D5041" i="1"/>
  <c r="C5042" i="1"/>
  <c r="D5042" i="1"/>
  <c r="C5043" i="1"/>
  <c r="D5043" i="1"/>
  <c r="C5044" i="1"/>
  <c r="D5044" i="1"/>
  <c r="C5045" i="1"/>
  <c r="D5045" i="1"/>
  <c r="C5046" i="1"/>
  <c r="D5046" i="1"/>
  <c r="C5047" i="1"/>
  <c r="D5047" i="1"/>
  <c r="C5048" i="1"/>
  <c r="D5048" i="1"/>
  <c r="C5049" i="1"/>
  <c r="D5049" i="1"/>
  <c r="C5050" i="1"/>
  <c r="D5050" i="1"/>
  <c r="C5051" i="1"/>
  <c r="D5051" i="1"/>
  <c r="C5052" i="1"/>
  <c r="D5052" i="1"/>
  <c r="C5053" i="1"/>
  <c r="D5053" i="1"/>
  <c r="C5054" i="1"/>
  <c r="D5054" i="1"/>
  <c r="C5055" i="1"/>
  <c r="D5055" i="1"/>
  <c r="C5056" i="1"/>
  <c r="D5056" i="1"/>
  <c r="C5057" i="1"/>
  <c r="D5057" i="1"/>
  <c r="C5058" i="1"/>
  <c r="D5058" i="1"/>
  <c r="C5059" i="1"/>
  <c r="D5059" i="1"/>
  <c r="C5060" i="1"/>
  <c r="D5060" i="1"/>
  <c r="C5061" i="1"/>
  <c r="D5061" i="1"/>
  <c r="C5062" i="1"/>
  <c r="D5062" i="1"/>
  <c r="C5063" i="1"/>
  <c r="D5063" i="1"/>
  <c r="C5064" i="1"/>
  <c r="D5064" i="1"/>
  <c r="C5065" i="1"/>
  <c r="D5065" i="1"/>
  <c r="C5066" i="1"/>
  <c r="D5066" i="1"/>
  <c r="C5067" i="1"/>
  <c r="D5067" i="1"/>
  <c r="C5068" i="1"/>
  <c r="D5068" i="1"/>
  <c r="C5069" i="1"/>
  <c r="D5069" i="1"/>
  <c r="C5070" i="1"/>
  <c r="D5070" i="1"/>
  <c r="C5071" i="1"/>
  <c r="D5071" i="1"/>
  <c r="C5072" i="1"/>
  <c r="D5072" i="1"/>
  <c r="C5073" i="1"/>
  <c r="D5073" i="1"/>
  <c r="C5074" i="1"/>
  <c r="D5074" i="1"/>
  <c r="C5075" i="1"/>
  <c r="D5075" i="1"/>
  <c r="C5076" i="1"/>
  <c r="D5076" i="1"/>
  <c r="C5077" i="1"/>
  <c r="D5077" i="1"/>
  <c r="C5078" i="1"/>
  <c r="D5078" i="1"/>
  <c r="C5079" i="1"/>
  <c r="D5079" i="1"/>
  <c r="C5080" i="1"/>
  <c r="D5080" i="1"/>
  <c r="C5081" i="1"/>
  <c r="D5081" i="1"/>
  <c r="C5082" i="1"/>
  <c r="D5082" i="1"/>
  <c r="C5083" i="1"/>
  <c r="D5083" i="1"/>
  <c r="C5084" i="1"/>
  <c r="D5084" i="1"/>
  <c r="C5085" i="1"/>
  <c r="D5085" i="1"/>
  <c r="C5086" i="1"/>
  <c r="D5086" i="1"/>
  <c r="C5087" i="1"/>
  <c r="D5087" i="1"/>
  <c r="C5088" i="1"/>
  <c r="D5088" i="1"/>
  <c r="C5089" i="1"/>
  <c r="D5089" i="1"/>
  <c r="C5090" i="1"/>
  <c r="D5090" i="1"/>
  <c r="C5091" i="1"/>
  <c r="D5091" i="1"/>
  <c r="C5092" i="1"/>
  <c r="D5092" i="1"/>
  <c r="C5093" i="1"/>
  <c r="D5093" i="1"/>
  <c r="C5094" i="1"/>
  <c r="D5094" i="1"/>
  <c r="C5095" i="1"/>
  <c r="D5095" i="1"/>
  <c r="C5096" i="1"/>
  <c r="D5096" i="1"/>
  <c r="C5097" i="1"/>
  <c r="D5097" i="1"/>
  <c r="C5098" i="1"/>
  <c r="D5098" i="1"/>
  <c r="C5099" i="1"/>
  <c r="D5099" i="1"/>
  <c r="C5100" i="1"/>
  <c r="D5100" i="1"/>
  <c r="C5101" i="1"/>
  <c r="D5101" i="1"/>
  <c r="C5102" i="1"/>
  <c r="D5102" i="1"/>
  <c r="C5103" i="1"/>
  <c r="D5103" i="1"/>
  <c r="C5104" i="1"/>
  <c r="D5104" i="1"/>
  <c r="C5105" i="1"/>
  <c r="D5105" i="1"/>
  <c r="C5106" i="1"/>
  <c r="D5106" i="1"/>
  <c r="C5107" i="1"/>
  <c r="D5107" i="1"/>
  <c r="C5108" i="1"/>
  <c r="D5108" i="1"/>
  <c r="C5109" i="1"/>
  <c r="D5109" i="1"/>
  <c r="C5110" i="1"/>
  <c r="D5110" i="1"/>
  <c r="C5111" i="1"/>
  <c r="D5111" i="1"/>
  <c r="C5112" i="1"/>
  <c r="D5112" i="1"/>
  <c r="C5113" i="1"/>
  <c r="D5113" i="1"/>
  <c r="C5114" i="1"/>
  <c r="D5114" i="1"/>
  <c r="C5115" i="1"/>
  <c r="D5115" i="1"/>
  <c r="C5116" i="1"/>
  <c r="D5116" i="1"/>
  <c r="C5117" i="1"/>
  <c r="D5117" i="1"/>
  <c r="C5118" i="1"/>
  <c r="D5118" i="1"/>
  <c r="C5119" i="1"/>
  <c r="D5119" i="1"/>
  <c r="C5120" i="1"/>
  <c r="D5120" i="1"/>
  <c r="C5121" i="1"/>
  <c r="D5121" i="1"/>
  <c r="C5122" i="1"/>
  <c r="D5122" i="1"/>
  <c r="C5123" i="1"/>
  <c r="D5123" i="1"/>
  <c r="C5124" i="1"/>
  <c r="D5124" i="1"/>
  <c r="C5125" i="1"/>
  <c r="D5125" i="1"/>
  <c r="C5126" i="1"/>
  <c r="D5126" i="1"/>
  <c r="C5127" i="1"/>
  <c r="D5127" i="1"/>
  <c r="C5128" i="1"/>
  <c r="D5128" i="1"/>
  <c r="C5129" i="1"/>
  <c r="D5129" i="1"/>
  <c r="C5130" i="1"/>
  <c r="D5130" i="1"/>
  <c r="C5131" i="1"/>
  <c r="D5131" i="1"/>
  <c r="C5132" i="1"/>
  <c r="D5132" i="1"/>
  <c r="C5133" i="1"/>
  <c r="D5133" i="1"/>
  <c r="C5134" i="1"/>
  <c r="D5134" i="1"/>
  <c r="C5135" i="1"/>
  <c r="D5135" i="1"/>
  <c r="C5136" i="1"/>
  <c r="D5136" i="1"/>
  <c r="C5137" i="1"/>
  <c r="D5137" i="1"/>
  <c r="C5138" i="1"/>
  <c r="D5138" i="1"/>
  <c r="C5139" i="1"/>
  <c r="D5139" i="1"/>
  <c r="C5140" i="1"/>
  <c r="D5140" i="1"/>
  <c r="C5141" i="1"/>
  <c r="D5141" i="1"/>
  <c r="C5142" i="1"/>
  <c r="D5142" i="1"/>
  <c r="C5143" i="1"/>
  <c r="D5143" i="1"/>
  <c r="C5144" i="1"/>
  <c r="D5144" i="1"/>
  <c r="C5145" i="1"/>
  <c r="D5145" i="1"/>
  <c r="C5146" i="1"/>
  <c r="D5146" i="1"/>
  <c r="C5147" i="1"/>
  <c r="D5147" i="1"/>
  <c r="C5148" i="1"/>
  <c r="D5148" i="1"/>
  <c r="C5149" i="1"/>
  <c r="D5149" i="1"/>
  <c r="C5150" i="1"/>
  <c r="D5150" i="1"/>
  <c r="C5151" i="1"/>
  <c r="D5151" i="1"/>
  <c r="C5152" i="1"/>
  <c r="D5152" i="1"/>
  <c r="C5153" i="1"/>
  <c r="D5153" i="1"/>
  <c r="C5154" i="1"/>
  <c r="D5154" i="1"/>
  <c r="C5155" i="1"/>
  <c r="D5155" i="1"/>
  <c r="C5156" i="1"/>
  <c r="D5156" i="1"/>
  <c r="C5157" i="1"/>
  <c r="D5157" i="1"/>
  <c r="C5158" i="1"/>
  <c r="D5158" i="1"/>
  <c r="C5159" i="1"/>
  <c r="D5159" i="1"/>
  <c r="C5160" i="1"/>
  <c r="D5160" i="1"/>
  <c r="C5161" i="1"/>
  <c r="D5161" i="1"/>
  <c r="C5162" i="1"/>
  <c r="D5162" i="1"/>
  <c r="C5163" i="1"/>
  <c r="D5163" i="1"/>
  <c r="C5164" i="1"/>
  <c r="D5164" i="1"/>
  <c r="C5165" i="1"/>
  <c r="D5165" i="1"/>
  <c r="C5166" i="1"/>
  <c r="D5166" i="1"/>
  <c r="C5167" i="1"/>
  <c r="D5167" i="1"/>
  <c r="C5168" i="1"/>
  <c r="D5168" i="1"/>
  <c r="C5169" i="1"/>
  <c r="D5169" i="1"/>
  <c r="C5170" i="1"/>
  <c r="D5170" i="1"/>
  <c r="C5171" i="1"/>
  <c r="D5171" i="1"/>
  <c r="C5172" i="1"/>
  <c r="D5172" i="1"/>
  <c r="C5173" i="1"/>
  <c r="D5173" i="1"/>
  <c r="C5174" i="1"/>
  <c r="D5174" i="1"/>
  <c r="C5175" i="1"/>
  <c r="D5175" i="1"/>
  <c r="C5176" i="1"/>
  <c r="D5176" i="1"/>
  <c r="C5177" i="1"/>
  <c r="D5177" i="1"/>
  <c r="C5178" i="1"/>
  <c r="D5178" i="1"/>
  <c r="C5179" i="1"/>
  <c r="D5179" i="1"/>
  <c r="C5180" i="1"/>
  <c r="D5180" i="1"/>
  <c r="C5181" i="1"/>
  <c r="D5181" i="1"/>
  <c r="C5182" i="1"/>
  <c r="D5182" i="1"/>
  <c r="C5183" i="1"/>
  <c r="D5183" i="1"/>
  <c r="C5184" i="1"/>
  <c r="D5184" i="1"/>
  <c r="C5185" i="1"/>
  <c r="D5185" i="1"/>
  <c r="C5186" i="1"/>
  <c r="D5186" i="1"/>
  <c r="C5187" i="1"/>
  <c r="D5187" i="1"/>
  <c r="C5188" i="1"/>
  <c r="D5188" i="1"/>
  <c r="C5189" i="1"/>
  <c r="D5189" i="1"/>
  <c r="C5190" i="1"/>
  <c r="D5190" i="1"/>
  <c r="C5191" i="1"/>
  <c r="D5191" i="1"/>
  <c r="C5192" i="1"/>
  <c r="D5192" i="1"/>
  <c r="C5193" i="1"/>
  <c r="D5193" i="1"/>
  <c r="C5194" i="1"/>
  <c r="D5194" i="1"/>
  <c r="C5195" i="1"/>
  <c r="D5195" i="1"/>
  <c r="C5196" i="1"/>
  <c r="D5196" i="1"/>
  <c r="C5197" i="1"/>
  <c r="D5197" i="1"/>
  <c r="C5198" i="1"/>
  <c r="D5198" i="1"/>
  <c r="C5199" i="1"/>
  <c r="D5199" i="1"/>
  <c r="C5200" i="1"/>
  <c r="D5200" i="1"/>
  <c r="C5201" i="1"/>
  <c r="D5201" i="1"/>
  <c r="C5202" i="1"/>
  <c r="D5202" i="1"/>
  <c r="C5203" i="1"/>
  <c r="D5203" i="1"/>
  <c r="C5204" i="1"/>
  <c r="D5204" i="1"/>
  <c r="C5205" i="1"/>
  <c r="D5205" i="1"/>
  <c r="C5206" i="1"/>
  <c r="D5206" i="1"/>
  <c r="C5207" i="1"/>
  <c r="D5207" i="1"/>
  <c r="C5208" i="1"/>
  <c r="D5208" i="1"/>
  <c r="C5209" i="1"/>
  <c r="D5209" i="1"/>
  <c r="C5210" i="1"/>
  <c r="D5210" i="1"/>
  <c r="C5211" i="1"/>
  <c r="D5211" i="1"/>
  <c r="C5212" i="1"/>
  <c r="D5212" i="1"/>
  <c r="C5213" i="1"/>
  <c r="D5213" i="1"/>
  <c r="C5214" i="1"/>
  <c r="D5214" i="1"/>
  <c r="C5215" i="1"/>
  <c r="D5215" i="1"/>
  <c r="C5216" i="1"/>
  <c r="D5216" i="1"/>
  <c r="C5217" i="1"/>
  <c r="D5217" i="1"/>
  <c r="C5218" i="1"/>
  <c r="D5218" i="1"/>
  <c r="C5219" i="1"/>
  <c r="D5219" i="1"/>
  <c r="C5220" i="1"/>
  <c r="D5220" i="1"/>
  <c r="C5221" i="1"/>
  <c r="D5221" i="1"/>
  <c r="C5222" i="1"/>
  <c r="D5222" i="1"/>
  <c r="C5224" i="1"/>
  <c r="D5224" i="1"/>
  <c r="C5225" i="1"/>
  <c r="D5225" i="1"/>
  <c r="C5226" i="1"/>
  <c r="D5226" i="1"/>
  <c r="C5227" i="1"/>
  <c r="D5227" i="1"/>
  <c r="C5228" i="1"/>
  <c r="D5228" i="1"/>
  <c r="C5229" i="1"/>
  <c r="D5229" i="1"/>
  <c r="C5230" i="1"/>
  <c r="D5230" i="1"/>
  <c r="C5231" i="1"/>
  <c r="D5231" i="1"/>
  <c r="C5232" i="1"/>
  <c r="D5232" i="1"/>
  <c r="C5233" i="1"/>
  <c r="D5233" i="1"/>
  <c r="C5234" i="1"/>
  <c r="D5234" i="1"/>
  <c r="C5235" i="1"/>
  <c r="D5235" i="1"/>
  <c r="C5236" i="1"/>
  <c r="D5236" i="1"/>
  <c r="C5237" i="1"/>
  <c r="D5237" i="1"/>
  <c r="C5238" i="1"/>
  <c r="D5238" i="1"/>
  <c r="C5239" i="1"/>
  <c r="D5239" i="1"/>
  <c r="C5240" i="1"/>
  <c r="D5240" i="1"/>
  <c r="C5241" i="1"/>
  <c r="D5241" i="1"/>
  <c r="C5242" i="1"/>
  <c r="D5242" i="1"/>
  <c r="C5243" i="1"/>
  <c r="D5243" i="1"/>
  <c r="C5244" i="1"/>
  <c r="D5244" i="1"/>
  <c r="C5245" i="1"/>
  <c r="D5245" i="1"/>
  <c r="C5246" i="1"/>
  <c r="D5246" i="1"/>
  <c r="C5247" i="1"/>
  <c r="D5247" i="1"/>
  <c r="C5248" i="1"/>
  <c r="D5248" i="1"/>
  <c r="C5249" i="1"/>
  <c r="D5249" i="1"/>
  <c r="C5250" i="1"/>
  <c r="D5250" i="1"/>
  <c r="C5251" i="1"/>
  <c r="D5251" i="1"/>
  <c r="C5252" i="1"/>
  <c r="D5252" i="1"/>
  <c r="C5253" i="1"/>
  <c r="D5253" i="1"/>
  <c r="C5254" i="1"/>
  <c r="D5254" i="1"/>
  <c r="C5255" i="1"/>
  <c r="D5255" i="1"/>
  <c r="C5256" i="1"/>
  <c r="D5256" i="1"/>
  <c r="C5257" i="1"/>
  <c r="D5257" i="1"/>
  <c r="C5258" i="1"/>
  <c r="D5258" i="1"/>
  <c r="C5259" i="1"/>
  <c r="D5259" i="1"/>
  <c r="C5260" i="1"/>
  <c r="D5260" i="1"/>
  <c r="C5261" i="1"/>
  <c r="D5261" i="1"/>
  <c r="C5262" i="1"/>
  <c r="D5262" i="1"/>
  <c r="C5263" i="1"/>
  <c r="D5263" i="1"/>
  <c r="C5264" i="1"/>
  <c r="D5264" i="1"/>
</calcChain>
</file>

<file path=xl/sharedStrings.xml><?xml version="1.0" encoding="utf-8"?>
<sst xmlns="http://schemas.openxmlformats.org/spreadsheetml/2006/main" count="10554" uniqueCount="5340">
  <si>
    <t>Document ID</t>
  </si>
  <si>
    <t>Title</t>
  </si>
  <si>
    <t>Publisher</t>
  </si>
  <si>
    <t>Witchcraft Narratives in Germany : Rothenburg, 1561-1652</t>
  </si>
  <si>
    <t>Manchester University Press</t>
  </si>
  <si>
    <t>Market Relations and the Competitive Process : New Dynamics of Innovation &amp; Competition</t>
  </si>
  <si>
    <t>The Israeli Response to Jewish Extremism and Violence</t>
  </si>
  <si>
    <t>Aesthetics and Subjectivity : From Kant to Neitzsche</t>
  </si>
  <si>
    <t>Innovation by Demand : An Interdisciplinary Approach to the Study of Demand and Its Role in Innovation</t>
  </si>
  <si>
    <t>More Than a Game : The Computer Game As Fictional Form</t>
  </si>
  <si>
    <t>Federalism and Democratisation in Russia</t>
  </si>
  <si>
    <t>The Ideology of the Extreme Right</t>
  </si>
  <si>
    <t>The Culture of Toleration in Diverse Societies : Reasonable Tolerance</t>
  </si>
  <si>
    <t>R. S. Thomas : Identity, Environment, Deity</t>
  </si>
  <si>
    <t>Theory and Reform in the EU</t>
  </si>
  <si>
    <t>Implementing International Environmental Agreements in Russia</t>
  </si>
  <si>
    <t>The Politics Today Companion to West European Politics</t>
  </si>
  <si>
    <t>Samuel Beckett and the Primacy of Love</t>
  </si>
  <si>
    <t>A War of Individuals : Bloomsbury Attitudes to the Great War</t>
  </si>
  <si>
    <t>Republican Learning : John Toland and the Crisis of Christian Culture, 1696-1722</t>
  </si>
  <si>
    <t>Gender at Stake : Male Witches in Early Modern Europe</t>
  </si>
  <si>
    <t>Postcolonial Contraventions : Cultural Readings of Race, Imperalism and Transnationalism</t>
  </si>
  <si>
    <t>Globalisation Contested : An International Political Economy of Work</t>
  </si>
  <si>
    <t>Understanding British and European Political Issues</t>
  </si>
  <si>
    <t>George III : King and Politicians 1760-1770</t>
  </si>
  <si>
    <t>The International Politics of the Middle East</t>
  </si>
  <si>
    <t>Half the Battle : Civilian Morale in Britain During the Second World War</t>
  </si>
  <si>
    <t>The United States Congress</t>
  </si>
  <si>
    <t>Fragmenting Modernism : Ford Madox Ford, the Novel and the Great War</t>
  </si>
  <si>
    <t>The Asian Financial Crisis : Crisis, Reform and Recovery</t>
  </si>
  <si>
    <t>Mainstreaming Gender, Democratizing the State</t>
  </si>
  <si>
    <t>Noblewomen, Aristocracy and Power in the Twelfth-Century Anglo-Norman Realm</t>
  </si>
  <si>
    <t>Fifteen into One? : The European Union and Its Member States</t>
  </si>
  <si>
    <t>Special Relationships : Anglo-American Affinities and Antagonisms 1854-1936</t>
  </si>
  <si>
    <t>Political Concepts</t>
  </si>
  <si>
    <t>Francis Bacon's New Atlantis : New Interdisciplinary Essays</t>
  </si>
  <si>
    <t>The New Aestheticism</t>
  </si>
  <si>
    <t>Women's Writing in Contemporary France : New Writers, New Literatures in The 1990s</t>
  </si>
  <si>
    <t>The End of Irish History? : Reflections on the Celtic Tiger</t>
  </si>
  <si>
    <t>Redefining Security in the Middle East</t>
  </si>
  <si>
    <t>Mapping European Security after Kosovo</t>
  </si>
  <si>
    <t>Potentials of Disorder : Explaining Conflict and Stability in the Caucasus and in the Former Yugoslavia</t>
  </si>
  <si>
    <t>Judicial Tribunals in England and Europe, 1200-1700 : The Trial in History, Volume I</t>
  </si>
  <si>
    <t>Memory and Popular Film</t>
  </si>
  <si>
    <t>Domestic and International Trials, 1700-2000 : The trial in history, vol. II</t>
  </si>
  <si>
    <t>British Cinema of The 1950s : A Celebration</t>
  </si>
  <si>
    <t>Comprehending Columbine</t>
  </si>
  <si>
    <t>Temple University Press</t>
  </si>
  <si>
    <t>Hybridity : The Cultural Logic of Globalization</t>
  </si>
  <si>
    <t>Just a Dog : Animal Cruelty, Self, and Society</t>
  </si>
  <si>
    <t>The Public Life of the Fetal Sonogram : Technology, Consumption, and the Politics of Reproduction</t>
  </si>
  <si>
    <t>Rutgers University Press</t>
  </si>
  <si>
    <t>Managing Technologies and Automated Library Systems in Developing Countries: Open Source vs Commercial Options : Proceedings of the IFLA Pre-Conference Satellite Meeting Dakar, Sénégal, August 15-16 2007</t>
  </si>
  <si>
    <t>De Gruyter, Inc.</t>
  </si>
  <si>
    <t>Measuring Quality : Performance Measurement in Libraries. 2nd Revised Edition</t>
  </si>
  <si>
    <t>Libraries and Information Services Towards the Attainment of the un Millennium Development Goals</t>
  </si>
  <si>
    <t>Kaiser Julian 'Apostata' und Die Philosophische Reaktion Gegen das Christentum</t>
  </si>
  <si>
    <t>Inzestverbot und Gesetzgebung : Die Konstruktion Eines Verbrechens (300-1100)</t>
  </si>
  <si>
    <t>The Netherlands in a Nutshell : Highlights from Dutch History and Culture</t>
  </si>
  <si>
    <t>Amsterdam University Press</t>
  </si>
  <si>
    <t>Sounding Off : Rhythm, Music, and Identity in West African and Caribbean Francophone Novels</t>
  </si>
  <si>
    <t>Unchopping a Tree : Reconciliation in the Aftermath of Political Violence</t>
  </si>
  <si>
    <t>Global Library and Information Science : A Textbook for Students and Educators. with Contributions from Africa, Asia, Australia, New Zealand, Europe, Latin America and the Carribean, the Middle East, and North America</t>
  </si>
  <si>
    <t>Library Statistics for the Twenty-First Century World : Proceedings of the Conference Held in Montréal on 18-19 August 2008 Reporting on the Global Library Statistics Project</t>
  </si>
  <si>
    <t>Umstrittene Vergangenheit : Historische Argumente in der Auseinandersetzung Augustins Mit Den Donatisten</t>
  </si>
  <si>
    <t>Strategies for Regenerating the Library and Information Profession</t>
  </si>
  <si>
    <t>Jenseits der Grenzen : Beiträge Zur Spätantiken und Frühmittelalterlichen Geschichtsschreibung</t>
  </si>
  <si>
    <t>Theodor Heuss, Aufbruch Im Kaiserreich : Briefe 1892-1917</t>
  </si>
  <si>
    <t>Guidelines for Legislative Libraries : 2nd, Completely Updated and Enlarged Edition</t>
  </si>
  <si>
    <t>The History and Cultural Heritage of Chinese Calligraphy, Printing and Library Work</t>
  </si>
  <si>
    <t>Erzbischof Hinkmar und Die Folgen : Der Vierhundertjährige Weg Historischer Erinnerungsbilder Von Reims Nach Trier</t>
  </si>
  <si>
    <t>Hochverehrter Herr Bundespräsident! : Der Briefwechsel Mit der Bevölkerung 1949 - 1959</t>
  </si>
  <si>
    <t>Social Science Libraries : Interdisciplinary Collections, Services, Networks</t>
  </si>
  <si>
    <t>Walter de Gruyter GmbH</t>
  </si>
  <si>
    <t>IFLA Public Library Service Guidelines</t>
  </si>
  <si>
    <t>A History of the University of Manchester, 1973-90</t>
  </si>
  <si>
    <t>Changing Anarchism : Anarchist Theory and Practice in a Global Age</t>
  </si>
  <si>
    <t>Understanding Political Ideas and Movements</t>
  </si>
  <si>
    <t>Rethinking European Union Foreign Policy</t>
  </si>
  <si>
    <t>Witchcraft Continued : Popular Magic in Modern Europe</t>
  </si>
  <si>
    <t>EU Development Cooperation : From Model to Symbol</t>
  </si>
  <si>
    <t>Interpreting the Labour Party : Approaches to Labour Politics and History</t>
  </si>
  <si>
    <t>Equal Subjects, Unequal Rights : Indigenous People in British Settler Colonies, 1830-1910</t>
  </si>
  <si>
    <t>Limiting Institutions? : The Challenge of Eurasian Security Governance</t>
  </si>
  <si>
    <t>Luther's Lives : Two Contemporary Accounts of Martin Luther</t>
  </si>
  <si>
    <t>The Poor in England 1700-1850 : An Economy of Makeshifts</t>
  </si>
  <si>
    <t>The Kosovo Crisis and the Evolution of a Post-Cold War European Security : The Evolution of Post Cold War European Security</t>
  </si>
  <si>
    <t>The Third Way and Beyond : Criticisms, Futures and Alternatives</t>
  </si>
  <si>
    <t>The Conservatives in Crisis</t>
  </si>
  <si>
    <t>Qualities of Food</t>
  </si>
  <si>
    <t>Climate Change and the Oil Industry : Common Problem, Varying Strategies</t>
  </si>
  <si>
    <t>The United Nations, Intra-State Peacekeeping and Normative Change</t>
  </si>
  <si>
    <t>The Forgotten French : Exiles in the British Isles, 1940-44</t>
  </si>
  <si>
    <t>The Enlightenment and Religion : The Myths of Modernity</t>
  </si>
  <si>
    <t>The Formation of Croatian National Identity</t>
  </si>
  <si>
    <t>The 'Malleus Maleficarum' and the Construction of Witchcraft : Theology and Popular Belief</t>
  </si>
  <si>
    <t>The Truest Form of Patriotism' : Pacifist Feminism in Britain, 1870-1902</t>
  </si>
  <si>
    <t>Democratization Through the Looking-Glass : Comparative Perspectives on Democratization</t>
  </si>
  <si>
    <t>'Special Relationship'? : Harold Wilson, Lyndon B Johnson and Anglo-American Relations 'At the Summit', 1964-8</t>
  </si>
  <si>
    <t>The French Party System</t>
  </si>
  <si>
    <t>The Labour Governments 1964-1970 Volume 1 : Labour and Cultural Change</t>
  </si>
  <si>
    <t>After the New Social Democracy : Social Welfare for the 21st Century</t>
  </si>
  <si>
    <t>Fathers, Pastors and Kings : Visions of Episcopacy in Seventeenth-Century France</t>
  </si>
  <si>
    <t>The länder and German Federalism</t>
  </si>
  <si>
    <t>Horseracing and the British, 1919-39</t>
  </si>
  <si>
    <t>Louis XIV and the Parlements : The Assertion of Royal Authority</t>
  </si>
  <si>
    <t>Germany and the Use of Force</t>
  </si>
  <si>
    <t>Sweden and Ecological Governance : Straddling the Fence</t>
  </si>
  <si>
    <t>The Other Empire : Metropolis, India and Progress in the Colonial Imagination</t>
  </si>
  <si>
    <t>Pulp Fictions of Medieval England : Essays in Popular Romance</t>
  </si>
  <si>
    <t>Rohinton Mistry</t>
  </si>
  <si>
    <t>Turkey: Facing a New Millennium : Coping with Intertwined Conflicts</t>
  </si>
  <si>
    <t>Sports Law and Policy in the European Union</t>
  </si>
  <si>
    <t>Female Imperialism and National Identity : Imperial Order Daughters of the Empire</t>
  </si>
  <si>
    <t>The Political Philosophy of Jean-Jacques Rousseau : The Impossibilty of Reason</t>
  </si>
  <si>
    <t>West Indian Intellectuals in Britain</t>
  </si>
  <si>
    <t>The Victorian Soldier in Africa</t>
  </si>
  <si>
    <t>Destination Europe : The Political and Economic Growth of a Continent</t>
  </si>
  <si>
    <t>The Labour Party and the World, Volume 1 : The Evolution of Labour's Foreign Policy, 1900-51</t>
  </si>
  <si>
    <t>Handbuch Bibliothek 2. 0</t>
  </si>
  <si>
    <t>Krise und Kult : Vorderer Orient und Nordafrika Von Aurelian Bis Justinian</t>
  </si>
  <si>
    <t>How Modern Science Came into the World : Four Civilizations, One 17th-Century Breakthrough</t>
  </si>
  <si>
    <t>Modeling Citizenship : Jewish and Asian American Writing</t>
  </si>
  <si>
    <t>Militärsiedlungen und Territorialherrschaft in der Antike</t>
  </si>
  <si>
    <t>Bilder Schreiben : Virtuose Ekphrasis in Philostrats Eikones</t>
  </si>
  <si>
    <t>Der Schutzauftrag des Rechts : Referate und Diskussionen Auf der Tagung der Vereinigung der Deutschen Staatsrechtslehrer in Berlin Vom 29. September Bis 2. Oktober 2010</t>
  </si>
  <si>
    <t>The Asia-Europe Meeting : Contributing to a New Global Governance Architecture: the Eighth ASEM Summit in Brussels (2010)</t>
  </si>
  <si>
    <t>Reading Up : Middle-Class Readers and the Culture of Success in the Early Twentieth-Century United States</t>
  </si>
  <si>
    <t>Spätantiker Staat und Religiöser Konflikt : Imperiale und Lokale Verwaltung und Die Gewalt Gegen Heiligtümer</t>
  </si>
  <si>
    <t>Heinrich Heine - ein Deutscher Europäer Im Französischen Exil : Vortrag, Gehalten Vor der Juristischen Gesellschaft Zu Berlin Am 9. Dezember 2009</t>
  </si>
  <si>
    <t>Messianic Figures in the Writings of German-Jewish Intellectuals 1900-1933</t>
  </si>
  <si>
    <t>Rome and Milan in Late Antiquity : Repräsentationen Städtischer Räume in Literatur, Architektur und Kunst</t>
  </si>
  <si>
    <t>Tantalisingly Close : An Archaeology of Communication Desires in Discourses of Mobile Wireless Media</t>
  </si>
  <si>
    <t>Kindheit in Byzanz : Emotionale, Geistige und Materielle Entwicklung Im Familiären Umfeld Vom 6. Bis Zum 11. Jahrhundert</t>
  </si>
  <si>
    <t>Tiananmen Fictions Outside the Square : The Chinese Literary Diaspora and the Politics of Global Culture</t>
  </si>
  <si>
    <t>Constituent, Confederate, and Conquered Space : The Emergence of the Mittani State</t>
  </si>
  <si>
    <t>Gottes Haus : Untersuchungen Zur Kirche Als Heiligem Raum Von der Spätantike Bis Ins Frühmittelalter</t>
  </si>
  <si>
    <t>Grundsatzfragen der Rechtsetzung und Rechtsfindung : Referate und Diskussionen Auf der Tagung der Vereinigung der Deutschen Staatsrechtslehrer in Münster Vom 5. Bis 8. Oktober 2011</t>
  </si>
  <si>
    <t>Die Mosaiken der Acheiropoietos-Basilika in Thessaloniki : Eine Vergleichende Analyse Dekorativer Mosaiken des 5. und 6. Jahrhunderts</t>
  </si>
  <si>
    <t>Gallien in Spätantike und Frühmittelalter : Kulturgeschichte Einer Region</t>
  </si>
  <si>
    <t>Der Bundespräsident : Briefe 1949-1954</t>
  </si>
  <si>
    <t>Population Dynamics in Prehistory and Early History : New Approaches Using Stable Isotopes and Genetics</t>
  </si>
  <si>
    <t>Arbeitsorganisation 2. 0 : Tools Für Den Arbeitsalltag in Kultur- und Bildungseinrichtungen</t>
  </si>
  <si>
    <t>Libraries Driving Access to Knowledge</t>
  </si>
  <si>
    <t>Thinking and Killing : Philosophical Discourse in the Shadow of the Third Reich</t>
  </si>
  <si>
    <t>The Archaeology of Political Spaces : The Upper Mesopotamian Piedmont in the Second Millennium BCE</t>
  </si>
  <si>
    <t>Babylon : Wissenskultur in Orient und Okzident</t>
  </si>
  <si>
    <t>Spatial Analysis and Social Spaces : Interdisciplinary Approaches to the Interpretation of Prehistoric and Historic Built Environments</t>
  </si>
  <si>
    <t>Mobilität und Wissenstransfer in Diachroner und Interdisziplinärer Perspektive</t>
  </si>
  <si>
    <t>(Open) Linked Data in Bibliotheken</t>
  </si>
  <si>
    <t>Germany and Europe: Does What Belongs Together Grow Together? : Wächst zusammen, was zusammen gehört?</t>
  </si>
  <si>
    <t>Oaths and Swearing in Ancient Greece</t>
  </si>
  <si>
    <t>Bundesstaat und Europäische Union Zwischen Konflikt und Kooperation : Berichte und Diskussionen Auf der Tagung der Vereinigung der Deutschen Staatsrechtslehrer in Rostock Vom 4. Bis 7. Oktober 2006</t>
  </si>
  <si>
    <t>Der Sozialstaat in Deutschland und Europa : Berichte und Diskussionen Auf der Tagung der Vereinigung der Deutschen Staatsrechtslehrer in Jena Vom 6. Bis 9. Oktober 2004</t>
  </si>
  <si>
    <t>The German President. Letters 19541959 : Briefe 1954–1959</t>
  </si>
  <si>
    <t>Der Kaiser und Konstantinopel : Kommunikation und Konfliktaustrag in Einer Spätantiken Metropole</t>
  </si>
  <si>
    <t>Across the Margins : Cultural Identity and Change in the Atlantic Archipelago</t>
  </si>
  <si>
    <t>Stories of Women : Gender and Narrative in the Postcolonial Nation</t>
  </si>
  <si>
    <t>Bibliotheken: Innovation Aus Tradition : Rolf Griebel Zum 65. Geburtstag</t>
  </si>
  <si>
    <t>Die Basilika in Byzanz : Gestalt, Ausstattung und Funktion Sowie das Verhältnis Zur Kreuzkuppelkirche</t>
  </si>
  <si>
    <t>Gaming und Bibliotheken</t>
  </si>
  <si>
    <t>The International Monetary Fund and Latin America : The Argentine Puzzle in Context</t>
  </si>
  <si>
    <t>Antibiotika-Forschung: Probleme und Perspektiven : Stellungnahme</t>
  </si>
  <si>
    <t>Active Ageing and Solidarity Between Generations in Europe : First Results from SHARE after the Economic Crisis</t>
  </si>
  <si>
    <t>Jeremiah Smith, Jr. and Hungary, 1924-1926 : The United States, the League of Nations, and the Financial Reconstruction of Hungary</t>
  </si>
  <si>
    <t>Pioneers of Zionism: Hess, Pinsker, Rülf : Messianism, Settlement Policy, and the Israeli-Palestinian Conflict</t>
  </si>
  <si>
    <t>Jugendbewegung, Antisemitismus und Rechtsradikale Politik : Vom ,,Freideutschen Jugendtag Bis Zur Gegenwart</t>
  </si>
  <si>
    <t>Repräsentative Demokratie in der Krise? : Referate und Diskussionen Auf der Tagung der Vereinigung der Deutschen Staatsrechtslehrer in Kiel Vom 3. Bis 6. Oktober 2012</t>
  </si>
  <si>
    <t>On Ancient Grammars of Space : Linguistic Research on the Expression of Spatial Relations and Motion in Ancient Languages</t>
  </si>
  <si>
    <t>Das Emanzipationsedikt Von 1812 in Preußen : Der Lange Weg der Juden Zu ,,Einländern und ,,preußischen Staatsbürgern</t>
  </si>
  <si>
    <t>Constructivist Blended Learning Approach : To Teaching English for Specific Purposes</t>
  </si>
  <si>
    <t>Before the Museums Came : A Social History of the Fine Arts in the Twin Cities</t>
  </si>
  <si>
    <t>Tractates Pesahim and Yoma</t>
  </si>
  <si>
    <t>Ethnography As Commentary : Writing from the Virtual Archive</t>
  </si>
  <si>
    <t>Duke University Press</t>
  </si>
  <si>
    <t>This Was Not Our War : Bosnian Women Reclaiming the Peace</t>
  </si>
  <si>
    <t>Cinema at the End of Empire : A Politics of Transition in Britain and India</t>
  </si>
  <si>
    <t>Europe (in Theory)</t>
  </si>
  <si>
    <t>Governing Gaza : Bureaucracy, Authority, and the Work of Rule, 1917-1967</t>
  </si>
  <si>
    <t>Lenin Reloaded : Toward a Politics of Truth, Sic Vii</t>
  </si>
  <si>
    <t>Native Americans and the Christian Right : The Gendered Politics of Unlikely Alliances</t>
  </si>
  <si>
    <t>Women Build the Welfare State : Performing Charity and Creating Rights in Argentina, 1880-1955</t>
  </si>
  <si>
    <t>Conflicted Antiquities : Egyptology, Egyptomania, Egyptian Modernity</t>
  </si>
  <si>
    <t>The Culture of Japanese Fascism</t>
  </si>
  <si>
    <t>Jacques Rancière : History, Politics, Aesthetics</t>
  </si>
  <si>
    <t>Land of Necessity : Consumer Culture in the United States-Mexico Borderlands</t>
  </si>
  <si>
    <t>Media, Erotics, and Transnational Asia</t>
  </si>
  <si>
    <t>The Dictator's Seduction : Politics and the Popular Imagination in the Era of Trujillo</t>
  </si>
  <si>
    <t>The Provocative Joan Robinson : The Making of a Cambridge Economist</t>
  </si>
  <si>
    <t>The Un-Americans : Jews, the Blacklist, and Stoolpigeon Culture</t>
  </si>
  <si>
    <t>A Certain Age : Colonial Jakarta Through the Memories of Its Intellectuals</t>
  </si>
  <si>
    <t>Anthropology and the Racial Politics of Culture</t>
  </si>
  <si>
    <t>Bring on the Books for Everybody : How Literary Culture Became Popular Culture</t>
  </si>
  <si>
    <t>Cosmopolitan Archaeologies</t>
  </si>
  <si>
    <t>Crash : Cinema and the Politics of Speed and Stasis</t>
  </si>
  <si>
    <t>The Indian Craze : Primitivism, Modernism, and Transculturation in American Art, 1890-1915</t>
  </si>
  <si>
    <t>The Sopranos</t>
  </si>
  <si>
    <t>The Speed Handbook : Velocity, Pleasure, Modernism</t>
  </si>
  <si>
    <t>Uneven Encounters : Making Race and Nation in Brazil and the United States</t>
  </si>
  <si>
    <t>Women's Experimental Cinema : Critical Frameworks</t>
  </si>
  <si>
    <t>Chinese Circulations : Capital, Commodities, and Networks in Southeast Asia</t>
  </si>
  <si>
    <t>Monumental Matters : The Power, Subjectivity, and Space of India's Mughal Architecture</t>
  </si>
  <si>
    <t>Soldiers' Stories : Military Women in Cinema and Television since World War II</t>
  </si>
  <si>
    <t>The Apartment Plot : Urban Living in American Film and Popular Culture, 1945 To 1975</t>
  </si>
  <si>
    <t>Contemporary Carioca : Technologies of Mixing in a Brazilian Music Scene</t>
  </si>
  <si>
    <t>Creativity and Its Discontents : China's Creative Industries and Intellectual Property Rights Offenses</t>
  </si>
  <si>
    <t>Decolonizing Native Histories : Collaboration, Knowledge, and Language in the Americas</t>
  </si>
  <si>
    <t>Empire's Garden : Assam and the Making of India</t>
  </si>
  <si>
    <t>Food, Farms, and Solidarity : French Farmers Challenge Industrial Agriculture and Genetically Modified Crops</t>
  </si>
  <si>
    <t>Migrants and Migration in Modern North America : Cross-Border Lives, Labor Markets, and Politics</t>
  </si>
  <si>
    <t>Real Folks : Race and Genre in the Great Depression</t>
  </si>
  <si>
    <t>Unearthing Gender : Folksongs of North India</t>
  </si>
  <si>
    <t>What's Left of the Left : Democrats and Social Democrats in Challenging Times</t>
  </si>
  <si>
    <t>Worlds Apart : Bosnian Lessons for Global Security</t>
  </si>
  <si>
    <t>All in the Family : On Community and Incommensurability</t>
  </si>
  <si>
    <t>An Historical Account of the Black Empire of Hayti</t>
  </si>
  <si>
    <t>Culture of Class : Radio and Cinema in the Making of a Divided Argentina, 1920-1946</t>
  </si>
  <si>
    <t>Mad Men, Mad World : Sex, Politics, Style, and The 1960s</t>
  </si>
  <si>
    <t>Odd Couples : Friendships at the Intersection of Gender and Sexual Orientation</t>
  </si>
  <si>
    <t>The Deliverance of Others : Reading Literature in a Global Age</t>
  </si>
  <si>
    <t>The Pariahs of Yesterday : Breton Migrants in Paris</t>
  </si>
  <si>
    <t>Moving to Sustainable Buildings: : Paths to Adopt Green Innovations in Developed Countries</t>
  </si>
  <si>
    <t>Making the Most of Mess : Reliability and Policy in Today's Management Challenges</t>
  </si>
  <si>
    <t>The World Jewish Congress During the Holocaust : Between Activism and Restraint</t>
  </si>
  <si>
    <t>The Problem of Relativism in the Sociology of (Scientific) Knowledge</t>
  </si>
  <si>
    <t>Wittgenstein: the Philosopher and His Works : The Philosopher and His Works</t>
  </si>
  <si>
    <t>Substance and Attribute : Western and Islamic Traditions in Dialogue</t>
  </si>
  <si>
    <t>Essays on the Philosophy of Wittgenstein</t>
  </si>
  <si>
    <t>Time and History : Proceedings of the 28. International Ludwig Wittgenstein Symposium, Kirchberg Am Wechsel, Austria 2005</t>
  </si>
  <si>
    <t>Phenomenology As Grammar</t>
  </si>
  <si>
    <t>Wittgenstein über das Verstehen</t>
  </si>
  <si>
    <t>Ethics of Terrorism and Counter-Terrorism</t>
  </si>
  <si>
    <t>From Logic to Art : Themes from Nelson Goodman</t>
  </si>
  <si>
    <t>Volume 2</t>
  </si>
  <si>
    <t>Wittgensteins Sprachphilosophie in Den Philosophischen Untersuchungen : Eine Kommentierende Ersteinführung</t>
  </si>
  <si>
    <t>Volume 1</t>
  </si>
  <si>
    <t>Signs, Minds and Actions</t>
  </si>
  <si>
    <t>Grenzen Grammatischer Willkür Bei Wittgenstein</t>
  </si>
  <si>
    <t>Cultures. Conflict - Analysis - Dialogue : Proceedings of the 29th International Ludwig Wittgenstein-Symposium in Kirchberg, Austria</t>
  </si>
  <si>
    <t>Interpreting Philosophy : The Elements of Philosophical Hermeneutics</t>
  </si>
  <si>
    <t>Wittgenstein and the Philosophy of Information : Proceedings of the 30th International Ludwig Wittgenstein-Symposium in Kirchberg 2007</t>
  </si>
  <si>
    <t>Philosophy of the Information Society : Proceedings of the 30th International Ludwig Wittgenstein-Symposium in Kirchberg 2007</t>
  </si>
  <si>
    <t>Applied Ontology : An Introduction</t>
  </si>
  <si>
    <t>Referenz, Quantifikation und Ontologische Festlegung</t>
  </si>
  <si>
    <t>Fostering the Ontological Turn : Gustav Bergmann (1906-1987)</t>
  </si>
  <si>
    <t>Ports, Piracy and Maritime War : Piracy in the English Channel and the Atlantic, C. 1280-C. 1330</t>
  </si>
  <si>
    <t>BRILL</t>
  </si>
  <si>
    <t>Daten und Phänomene : Ein Beitrag Zur Wissenschaftstheoretischen Realismusdebatte</t>
  </si>
  <si>
    <t>Theoriebeladenheit und Objektivität : Zur Rolle der Beobachtung in Den Naturwissenschaften</t>
  </si>
  <si>
    <t>Das Wertfreiheitsideal in der Sozialen Erkenntnistheorie : Objektivität, Pluralismus und das Beispiel Frauengesundheitsforschung</t>
  </si>
  <si>
    <t>Consciousness and Subjectivity</t>
  </si>
  <si>
    <t>Universality in Set Theories : A Study in Formal Ontology</t>
  </si>
  <si>
    <t>On the Nature of Philosophy and Other Philosophical Essays</t>
  </si>
  <si>
    <t>Medicine and Philosophy : A Twenty-First Century Introduction</t>
  </si>
  <si>
    <t>Historische Erkenntnis Zwischen Objektivität und Perspektivität</t>
  </si>
  <si>
    <t>Die Praxis des Wissens : Können Als Quelle der Erkenntnis</t>
  </si>
  <si>
    <t>A Two-Dimensionalist Guide to Conceptual Analysis</t>
  </si>
  <si>
    <t>Non-Locality and Possible World : A Counterfactual Perspective on Quantum Entanglement</t>
  </si>
  <si>
    <t>Von der Physik Zur Metaphysik : Physikalische Vereinheitlichung und Stringansatz</t>
  </si>
  <si>
    <t>The Necessary Structure of the All-Pervading Aether : Necessary Structure of the All-Pervading Aether</t>
  </si>
  <si>
    <t>Relations and Predicates</t>
  </si>
  <si>
    <t>Reduction : Between the Mind and the Brain</t>
  </si>
  <si>
    <t>Reduction - Abstraction - Analysis : Proceedings of the 31th International Ludwig Wittgenstein-Symposium in Kirchberg 2008</t>
  </si>
  <si>
    <t>Sense and Reality : Essays Out of Swansea</t>
  </si>
  <si>
    <t>Die Natur der Farben</t>
  </si>
  <si>
    <t>Gottes Werk und Teufels Wirken : Traum, Vision, Imagination in der Frühbyzantinischen Monastischen Literatur</t>
  </si>
  <si>
    <t>Histamine H4 Receptor : A Novel Drug Target for Immunoregulation and Inflammation</t>
  </si>
  <si>
    <t>Theodor Heuss As Private Citizen and Elder Statesman</t>
  </si>
  <si>
    <t>Bird Ringing Station Manual</t>
  </si>
  <si>
    <t>Retirement Timing and Social Stratification : A Comparative Study of Labor Market Exit and Age Norms in Western Europe</t>
  </si>
  <si>
    <t>Environmental Democracy at the Global Level: : Rights and Duties for a New Citizenship</t>
  </si>
  <si>
    <t>Europe and the Gospel : Past Influences, Current Developments, Mission Challenges</t>
  </si>
  <si>
    <t>Monumental Polovtsian Statues in Eastern Europe : The Archaeology, Conservation and Protection</t>
  </si>
  <si>
    <t>Russian Policy in the Orthodox East : The Patriarchate of Constantinople (1878-1914)</t>
  </si>
  <si>
    <t>Behold Our Moral Body : Psychiatry, Duns Scotus, and Neuroscience</t>
  </si>
  <si>
    <t>Children Disengaged from Armed Groups in Colombia : Integration Processes in Context</t>
  </si>
  <si>
    <t>The Szczecin Lagoon Ecosystem : The Biotic Community of the Great Lagoon and Its Food Web Model</t>
  </si>
  <si>
    <t>Musket, Map and Money: : How Military Technology Shaped Geopolitics and Economics</t>
  </si>
  <si>
    <t>Liberalismus : Zur Historischen Semantik Eines Europäischen Deutungsmusters</t>
  </si>
  <si>
    <t>Random Differential Equations in Scientific Computing</t>
  </si>
  <si>
    <t>Auf Ewig Feind? : Das Deutschlandbild in Den Britischen Massenmedien Nach Dem Ersten Weltkrieg</t>
  </si>
  <si>
    <t>Der Schatten des Volkes : Benjamin Constant und Die Anfänge Liberaler Repräsentationskultur Im Frankreich der Restaurationszeit 1814-1830</t>
  </si>
  <si>
    <t>Der Fall Nicolas Fouquet : Mäzenatentum Als Mittel Politischer Selbstdarstellung 1653-1661</t>
  </si>
  <si>
    <t>Zwischen Paris und Moskau : Kommunistische Vorstadtidentität und Lokale Erinnerungskultur in Ivry-Sur-Seine</t>
  </si>
  <si>
    <t>Germany, Russia, and the Comintern. II - Documents (1918e 1943) - After the Archival Revolution : Nach der Archivrevolution: Neuerschlossene Quellen zu der Geschichte der KPD und den deutsch-russischen Beziehungen</t>
  </si>
  <si>
    <t>La Descrizione Dei Tempi All'alba Dell'espansione Islamica : Un'indagine Sulla Storiografia Greca, Siriaca e Araba Fra VII e VIII Secolo</t>
  </si>
  <si>
    <t>Deutschland, Russland, Komintern - Überblicke, Analysen, Diskussionen : Neue Perspektiven Auf Die Geschichte der KPD und Die Deutsch-Russischen Beziehungen (1918-1943)</t>
  </si>
  <si>
    <t>Das Römische Spielewesen in der Spätantike</t>
  </si>
  <si>
    <t>Learning History in a Transforming Digital World: a Book Project Subjected to Open Peer Review</t>
  </si>
  <si>
    <t>Arbeit Im Nationalsozialismus</t>
  </si>
  <si>
    <t>Historyblogosphere : Bloggen in Den Geschichtswissenschaften</t>
  </si>
  <si>
    <t>Umwelt und Herrschaft in der Geschichte. Environnement et Pouvoir: une Approche Historique : Une Approche Historique</t>
  </si>
  <si>
    <t>The Linguistic Worldview : Ethnolinguistics, Cognition, and Culture</t>
  </si>
  <si>
    <t>Das 19. Jahrhundert Als Mediengesellschaft</t>
  </si>
  <si>
    <t>Tous les Hommes Sont-Ils égaux? : Histoire Comparée des Pensées Raciales 1860-1930</t>
  </si>
  <si>
    <t>Remy Belleau and the Art of Healing</t>
  </si>
  <si>
    <t>Michaelis Pselli Chronographia</t>
  </si>
  <si>
    <t>Nationale Identität und Transnationale Einflüsse : Amerikanisierung, Europäisierung und Globalisierung in Frankreich Nach Dem Zweiten Weltkrieg</t>
  </si>
  <si>
    <t>Mutation Breeding in Chickpea: : Perspectives and Prospects for Food Security</t>
  </si>
  <si>
    <t>Exploring Cultural Identities in Jean Rhys' Fiction</t>
  </si>
  <si>
    <t>Simon of Genoa's Medical Lexicon</t>
  </si>
  <si>
    <t>Russia in the Reign of Aleksei Mikhailovich</t>
  </si>
  <si>
    <t>150 Jahre Deutsche Verwaltungsgerichtsbarkeit : Vortrag, Gehalten Vor der Juristischen Gesellschaft Zu Berlin Am 9. Oktober 2013 Im OVG Berlin-Brandenburg</t>
  </si>
  <si>
    <t>A Galileo Forgery : Unmasking the New York Sidereus Nuncius</t>
  </si>
  <si>
    <t>Biological Relatives : IVF, Stem Cells, and the Future of Kinship</t>
  </si>
  <si>
    <t>Borderland Lives in Northern South Asia</t>
  </si>
  <si>
    <t>In Search of the Amazon : Brazil, the United States, and the Nature of a Region</t>
  </si>
  <si>
    <t>My Voice Is My Weapon : Music, Nationalism, and the Poetics of Palestinian Resistance</t>
  </si>
  <si>
    <t>Return : Nationalizing Transnational Mobility in Asia</t>
  </si>
  <si>
    <t>Major Trends in Theoretical and Applied Linguistics 3 : Selected Papers from the 20th ISTAL</t>
  </si>
  <si>
    <t>Major Trends in Theoretical and Applied Linguistics 1 : Selected Papers from the 20th ISTAL</t>
  </si>
  <si>
    <t>Major Trends in Theoretical and Applied Linguistics 2 : Selected Papers from the 20th ISTAL</t>
  </si>
  <si>
    <t>Art from a Fractured Past : Memory and Truth-Telling in Post-Shining Path Peru</t>
  </si>
  <si>
    <t>Ever Faithful : Race, Loyalty, and the Ends of Empire in Spanish Cuba</t>
  </si>
  <si>
    <t>An Experimental Study on Adhesive or Anti-Adhesive, Bio-inspired Experimental Nanomaterials</t>
  </si>
  <si>
    <t>Skin for Skin : Death and Life for Inuit and Innu</t>
  </si>
  <si>
    <t>West Germany in the CSCE Process, 1975-1983: the Reversal of Diplomacy : Die Umkehrung der Diplomatie</t>
  </si>
  <si>
    <t>Trust As an Element of 20th Century International Relations : Vertrauen, Misstrauen und die Außenpolitik der Bundesrepublik Deutschland</t>
  </si>
  <si>
    <t>The German Foreign Office under National Socialism</t>
  </si>
  <si>
    <t>Inszenierte Moderne : Populäres Theater in Berlin und London, 1880-1930</t>
  </si>
  <si>
    <t>Energy Efficiency Solutions for Historic Buildings : A Handbook</t>
  </si>
  <si>
    <t>Öl und Souveränität : Petroknowledge und Energiepolitik in Den USA und Westeuropa in Den 1970er Jahren</t>
  </si>
  <si>
    <t>Animating Film Theory</t>
  </si>
  <si>
    <t>Designing Adaptive Virtual Worlds</t>
  </si>
  <si>
    <t>The Global Commons in the 20th Century : Entwürfe für eine globale Welt</t>
  </si>
  <si>
    <t>Zukunftsgestaltung Durch Öffentliches Recht : Referate und Diskussionen Auf der Tagung der Vereinigung der Deutschen Staatsrechtslehrer in Greifswald Vom 2. Bis 5. Oktober 2013</t>
  </si>
  <si>
    <t>An Historical Geography of Tourism in Victoria, Australia : Case Studies</t>
  </si>
  <si>
    <t>Gender-UseIT : HCI, Usability und UX Unter Gendergesichtspunkten</t>
  </si>
  <si>
    <t>Genuss Als Politikum : Kaffeekonsum in Beiden Deutschen Staaten</t>
  </si>
  <si>
    <t>Coordination Abilities in Volleyball</t>
  </si>
  <si>
    <t>Abortion in the American Imagination : Before Life and Choice, 1880-1940</t>
  </si>
  <si>
    <t>State of Ambiguity : Civic Life and Culture in Cuba's First Republic</t>
  </si>
  <si>
    <t>Reichenbach's Paradise : Constructing the Realm of Probabilstic Common Causes</t>
  </si>
  <si>
    <t>Tango Lessons : Movement, Sound, Image, and Text in Contemporary Practice</t>
  </si>
  <si>
    <t>Médialité et Interprétation Contemporaine des Premières Guerres de Religion</t>
  </si>
  <si>
    <t>Fear and Loathing in the North : Jews and Muslims in Medieval Scandinavia and the Baltic Region</t>
  </si>
  <si>
    <t>The Contents of Perceptual Experience: a Kantian Perspective : A Kantian Perspective</t>
  </si>
  <si>
    <t>Youth and Experiences of Ageing among Maa : Models of Society Evoked by the Maasai, Samburu, and Chamus of Kenya</t>
  </si>
  <si>
    <t>Palpation for Pelvic Floor Training</t>
  </si>
  <si>
    <t>Carolingian Monasteries: Knowledge Transfer and Cultural Innovation : Wissenstransfer und kulturelle Innovation</t>
  </si>
  <si>
    <t>Information and Communications Technology : In the 21st Century Classroom</t>
  </si>
  <si>
    <t>Soviet Garrisons and German Administration in the Soviet Occupied Zone and Early East Germany: Documents : Dokumente</t>
  </si>
  <si>
    <t>Script-Bearing and Text-bearing Artifacts: on the Material Presence of the Written in Early Societies : Zur Materialen Präsenz des Geschriebenen in Frühen Gesellschaften</t>
  </si>
  <si>
    <t>Appearances and Usages of Holy Scriptures</t>
  </si>
  <si>
    <t>Verborgen, Unsichtbar, Unlesbar - Zur Problematik Restringierter Schriftpräsenz</t>
  </si>
  <si>
    <t>Family Life in Adolescence</t>
  </si>
  <si>
    <t>Praxeologie : Beiträge Zur Interdisziplinären Reichweite Praxistheoretischer Ansätze in Den Geistes- und Sozialwissenschaften</t>
  </si>
  <si>
    <t>Introduction to Modern Instrumentation : For Hydraulics and Environmental Sciences</t>
  </si>
  <si>
    <t>Copular Clauses and Focus Marking in Sumerian</t>
  </si>
  <si>
    <t>Plug&amp;Play Places : Lifeworlds of Multilocal Creative Knowledge Workers</t>
  </si>
  <si>
    <t>Marine Propulsion Simulation : Methods and Results</t>
  </si>
  <si>
    <t>Paper in Medieval Europe: Its Production and Use : Herstellung und Gebrauch</t>
  </si>
  <si>
    <t>Lucan und der Prinzipat : Inkonsistenz und Unzuverlässiges Erzählen Im Bellum Civile</t>
  </si>
  <si>
    <t>Turbulence : A Corporate Perspective on Collaborating for Resilience</t>
  </si>
  <si>
    <t>Exhibiting Cinema in Contemporary Art</t>
  </si>
  <si>
    <t>Improvising Cinema</t>
  </si>
  <si>
    <t>Fabricating the Absolute Fake - Revised Edition : America in Contemporary Pop Culture - Revised Edition</t>
  </si>
  <si>
    <t>Preserving and Exhibiting Media Art : Challenges and Perspectives</t>
  </si>
  <si>
    <t>Educational Mobility of Second-Generation Turks : Cross-National Perspectives</t>
  </si>
  <si>
    <t>Migration from the Middle East and North Africa to Europe : Past Developments, Current Status and Future Potentials</t>
  </si>
  <si>
    <t>Transit Migration in Europe</t>
  </si>
  <si>
    <t>The Vanguard of the Atlantic World : Creating Modernity, Nation, and Democracy in Nineteenth-Century Latin America</t>
  </si>
  <si>
    <t>Gemeinwohl Durch Wettbewerb? : Berichte und Diskussionen Auf der Tagung der Vereinigung der Deutschen Staatsrechtslehrer in Graz Vom 7. Bis 10. Oktober 2009</t>
  </si>
  <si>
    <t>Soziale Elite und Christentum : Studien Zu Ordo-Angehörigen Unter Den Frühen Christen</t>
  </si>
  <si>
    <t>A Typological Perspective on Latvian Grammar</t>
  </si>
  <si>
    <t>Made in Canada, Read in Spain : Essays on the Translation and Circulation of English-Canadian Literature</t>
  </si>
  <si>
    <t>Biochemistry Laboratory Manual for Undergraduates : An Inquiry-Based Approach</t>
  </si>
  <si>
    <t>Antike Mythologie in Christlichen Kontexten der Spätantike</t>
  </si>
  <si>
    <t>Introduction to Paremiology : A Comprehensive Guide to Proverb Studies</t>
  </si>
  <si>
    <t>Materiality, Techniques and Society in Pottery Production : The Technological Study of Archaeological Ceramics Through Paste Analysis</t>
  </si>
  <si>
    <t>Creativity: the Actor in Performance : The Actor in Performance</t>
  </si>
  <si>
    <t>Mathematics for the Physical Sciences</t>
  </si>
  <si>
    <t>Interacting with Presence : HCI and the Sense of Presence in Computer-Mediated Environments</t>
  </si>
  <si>
    <t>Miniaturization in Sample Preparation</t>
  </si>
  <si>
    <t>Enabling Positive Change : Flow and Complexity in Daily Experience</t>
  </si>
  <si>
    <t>Arab Women in Algeria</t>
  </si>
  <si>
    <t>Irregular Migrants in Belgium and the Netherlands : Aspirations and Incorporation</t>
  </si>
  <si>
    <t>The Making of the Humanities, Volume III : The Modern Humanities</t>
  </si>
  <si>
    <t>Textbook of Cortical Brain Stimulation</t>
  </si>
  <si>
    <t>Body Law and the Body of Law : A Comparative Study of Social Norm Inclusion in Norwegian and American Laws</t>
  </si>
  <si>
    <t>Galeni in Hippocratis Epidemiarum Librum I Commentariorum I-III Versio Arabica : Edidit, in Linguam Anglicam Vertit, Commentatus Est</t>
  </si>
  <si>
    <t>Metapher und Metonymie : Theoretische, Methodische und Empirische Zugänge</t>
  </si>
  <si>
    <t>Modern Slavery : A Comparative Study of the Definition of Trafficking in Persons</t>
  </si>
  <si>
    <t>Reproductive Justice : The Politics of Health Care for Native American Women</t>
  </si>
  <si>
    <t>How Climate Change Comes to Matter : The Communal Life of Facts</t>
  </si>
  <si>
    <t>Portrait of a Young Painter : Pepe Zuniga and Mexico City's Rebel Generation</t>
  </si>
  <si>
    <t>Why Do We Do What We Do? : Motivation in History and the Social Sciences</t>
  </si>
  <si>
    <t>Language MOOCs : Providing Learning, Transcending Boundaries</t>
  </si>
  <si>
    <t>The Erosion of Constitutional Requirements. Reports and Discussions from the Meeting of the Association of German Constitutional Law Teachers in Erlangen from 1st to 4th of October 2008 : Berichte und Diskussionen Auf der Tagung der Vereinigung der Deutschen Staatsrechtslehrer in Erlangen Vom 1. Bis 4. Oktober 2008</t>
  </si>
  <si>
    <t>Dionysos in Classical Athens : An Understanding Through Images</t>
  </si>
  <si>
    <t>Globalization and Minority Cultures : The Role of Minor Cultural Groups in Shaping Our Global Future</t>
  </si>
  <si>
    <t>Documents and the History of the Early Islamic World : 3rd Conference of the International Society for Arabic Papyrology, Alexandria, 23-26 March 2006</t>
  </si>
  <si>
    <t>Materiale Textkulturen : Konzepte - Materialien - Praktiken</t>
  </si>
  <si>
    <t>An Introduction to Nonlinear Optimization Theory</t>
  </si>
  <si>
    <t>Commercial Orchids</t>
  </si>
  <si>
    <t>L' historiographie Tardo-Antique et la Transmission des Savoirs</t>
  </si>
  <si>
    <t>Riemann-Roch Spaces and Computation</t>
  </si>
  <si>
    <t>Educational Reception in Rotterdam and Barcelona : Policies, Practices and Gaps</t>
  </si>
  <si>
    <t>New Publication Cultures in the Humanities : Exploring the Paradigm Shift</t>
  </si>
  <si>
    <t>The Work of Authorship</t>
  </si>
  <si>
    <t>The Practice of Philology in the Nineteenth-Century Netherlands : History of Science and Scholarship in the Netherlands - Practice of Philology in the Nineteenth-Century Netherlands</t>
  </si>
  <si>
    <t>Bilingual Europe : Latin and Vernacular Cultures - Examples of Bilingualism and Multilingualism C. 1300-1800</t>
  </si>
  <si>
    <t>Playful Identities : The Ludification of Digital Media Cultures</t>
  </si>
  <si>
    <t>Anfangsjahre der Berlin-Krise (Herbst 1958 Bis Herbst 1960)</t>
  </si>
  <si>
    <t>Inspice Diligenter Codices : Philologische Studien Zu Augustins Umgang Mit Bibelhandschriften Und -übersetzungen</t>
  </si>
  <si>
    <t>The Densification Process of Wood Waste</t>
  </si>
  <si>
    <t>The Far Horizons of Time : Time and Mind in the Universe</t>
  </si>
  <si>
    <t>Emerging Memory : Photographs of Colonial Atrocity in Dutch Cultural Remembrance</t>
  </si>
  <si>
    <t>Issue Mapping for an Ageing Europe</t>
  </si>
  <si>
    <t>The Integration of Descendants of Migrants from Turkey in Stockholm : The TIES Study in Sweden</t>
  </si>
  <si>
    <t>Exercises with Solutions in Radiation Physics</t>
  </si>
  <si>
    <t>Peace Through Communication: the Genscher System and the Policy of détente During the Second Cold War (1979-1982/3) : Das System Genscher und die Entspannungspolitik im Zweiten Kalten Krieg 1979–1982/83</t>
  </si>
  <si>
    <t>The Habsburg Monarchy's Many-Languaged Soul : Translating and Interpreting, 1848-1918</t>
  </si>
  <si>
    <t>John Benjamins Publishing Company</t>
  </si>
  <si>
    <t>Zukünfte : Aufstieg und Krise der Zukunftsforschung 1945-1980</t>
  </si>
  <si>
    <t>Erinnerung an Diktatur und Krieg : Brennpunkte des Kulturellen Gedächtnisses Zwischen Russland und Deutschland Seit 1945</t>
  </si>
  <si>
    <t>Mahnen und Regieren : Die Metapher des Hirten Im Früheren Mittelalter</t>
  </si>
  <si>
    <t>Unternehmer - Fakten und Fiktionen : Historisch-Biografische Studien</t>
  </si>
  <si>
    <t>Der Reformator Martin Luther 2017 : Eine Wissenschaftliche und Gedenkpolitische Bestandsaufnahme</t>
  </si>
  <si>
    <t>A Language of Song : Journeys in the Musical World of the African Diaspora</t>
  </si>
  <si>
    <t>Beyond the Witch Trials : Witchcraft and Magic in Enlightenment Europe</t>
  </si>
  <si>
    <t>Anthropology Without Informants : Collected Works in Paleoanthropology by L. G. Freeman</t>
  </si>
  <si>
    <t>University Press of Colorado</t>
  </si>
  <si>
    <t>Bildung und Briefe Im 6. Jahrhundert : Studien Zum Mailänder Diakon Magnus Felix Ennodius</t>
  </si>
  <si>
    <t>The German Prose Poem. Theory and History of a Modern Literary Genre : Theorie und Geschichte einer literarischen Gattung der Moderne</t>
  </si>
  <si>
    <t>Barbarische Bürger : Die Isaurier und das Römische Reich</t>
  </si>
  <si>
    <t>Artikel 12 GG - Freiheit des Berufs und Grundrecht der Arbeit. der Verwaltungsvorbehalt : Berichte und Diskussionen Auf der Tagung der Vereinigung der Deutschen Staatsrechtslehrer in Göttingen Vom 3. Bis 6. Oktober 1984</t>
  </si>
  <si>
    <t>Körper und Christliche Lebensweise : Clemens Von Alexandreia und Sein Paidagogos</t>
  </si>
  <si>
    <t>How Successful Is Naturalism?</t>
  </si>
  <si>
    <t>Das Gesetz Als Norm und Maßnahme. das Besondere Gewaltverhältnis : Berichte und Aussprache Zu Den Berichten in Den Verhandlungen der Tagung der Deutschen Staatsrechtslehrer Zu Mainz Am 11. und 12. Oktober 1956</t>
  </si>
  <si>
    <t>Kabinettsfrage und Gesetzgebungsnotstand Nach Dem Bonner Grundgesetz. Tragweite der Generalklausel Im Art. 19 Abs. 4 des Bonner Grundgesetzes : Verhandlungen der Tagung der Deutschen Staatsrechtslehrer Zu Heidelberg Am 20. und 21. Oktober 1949. Mit Einem Auszug Aus der Aussprache</t>
  </si>
  <si>
    <t>Begriff und Wesen des Sozialen Rechtsstaates. Die Auswärtige Gewalt der Bundesrepublik : Berichte und Aussprache Zu Den Berichten in Den Verhandlungen der Tagung der Deutschen Staatsrechtslehrer Zu Bonn Am 15. und 16. Oktober 1953</t>
  </si>
  <si>
    <t>Die Grenzen der Verfassungsgerichtsbarkeit. Die Gestaltung des Polizei- und Ordnungsrechts in Den Einzelnen Besatzungszonen : Verhandlungen der Tagung der Deutschen Staatsrechtslehrer Zu München Am 20. und 21. Oktober 1950. Mit Einem Auszug Aus der Aussprache</t>
  </si>
  <si>
    <t>Der Grundrechtseingriff. Öffentlich-Rechtliche Rahmenbedingungen Einer Informationsordnung : Berichte und Diskussionen Auf der Tagung der Vereinigung der Deutschen Staatsrechtslehrer in Osnabrück Vom 1. Bis 4. Oktober 1997</t>
  </si>
  <si>
    <t>Staatszwecke Im Verfassungsstaat - Nach 40 Jahren Grundgesetz. Die Bewältigung der Wissenschaftlichen und Technischen Entwicklungen Durch das Verwaltungsrecht : Berichte und Diskussionen Auf der Tagung der Vereinigung der Deutschen Staatsrechtslehrer in Hannover Vom 4. Bis 7. Oktober 1989</t>
  </si>
  <si>
    <t>Ungeschriebenes Verfassungsrecht. Enteignung und Sozialisierung : Verhandlungen der Tagung der Deutschen Staatsrechtslehrer Zu Göttingen Am 18. und 19. Oktober 1951. Mit Einem Auszug Aus der Aussprache</t>
  </si>
  <si>
    <t>Deutschlands Aktuelle Verfassungslage : Berichte und Diskussionen Auf der Sondertagung der Vereinigung der Deutschen Staatsrechtslehrer in Berlin Am 27. April 1990</t>
  </si>
  <si>
    <t>Das Parlamentarische Regierungssystem des Grundgesetzes. Organisierte Einwirkungen Auf Die Verwaltung : Anlage - Erfahrungen - Zukunftseignung. Zur Lage der Zweiten Gewalt. Berichte und Diskussionen Auf der Tagung der Vereinigung der Deutschen Staatsrechtslehrer in Bielefeld Vom 2. Bis 5. Oktober 1974</t>
  </si>
  <si>
    <t>Verfassungsrecht und Einfaches Recht - Verfassungsgerichtsbarkeit und Fachgerichtsbarkeit. Primär- und Sekundärrechtsschutz Im Öffentlichen Recht : Berichte und Diskussionen Auf der Tagung der Vereinigung der Deutschen Staatsrechtslehrer in Würzburg Vom 3. Bis 6. Oktober 2001</t>
  </si>
  <si>
    <t>Die Staatsrechtslehre und Die Veränderung Ihres Gegenstandes. Gewährleistung Von Freiheit und Sicherheit Im Lichte Unterschiedlicher Staats- und Verfassungsverständnisse. Risikosteuerung Durch Verwaltungsrecht. Transparente Verwaltung - Konturen... : Berichte und Diskussionen Auf der Tagung der Vereinigung der Deutschen Staatsrechtslehrer in Hamburg Vom 1. Bis 4. Oktober 2003</t>
  </si>
  <si>
    <t>Arbeitsmarkt und Staatliche Lenkung. Staat und Religion : Berichte und Diskussionen Auf der Tagung der Vereinigung der Deutschen Staatsrechtslehrer in Heidelberg Vom 6. Bis 9. Oktober 1999</t>
  </si>
  <si>
    <t>Die Bindung des Richters an Gesetz und Verfassung. Verwaltungsverantwortung und Verwaltungsgerichtsbarkeit : Berichte und Diskussionen Auf der Tagung der Vereinigung der Deutschen Staatsrechtslehrer in Augsburg Vom 1. Bis 4. Oktober 1975</t>
  </si>
  <si>
    <t>Der Verfassungsstaat Als Glied Einer Europäischen Gemeinschaft. Verwaltungsrecht Als Vorgabe Für Zivil- und Strafrecht : Berichte und Diskussionen Auf der Tagung der Vereinigung der Deutschen Staatsrechtslehrer in Zürich Vom 3. Bis 6. Oktober 1990</t>
  </si>
  <si>
    <t>Die Bedeutung Gliedstaatlichen Verfassungsrechts in der Gegenwart. Die Einheit der Verwaltung Als Rechtsproblem : Berichte und Diskussionen Auf der Tagung der Vereinigung der Deutschen Staatsrechtslehrer in Passau Vom 7. Bis 10. Oktober 1987</t>
  </si>
  <si>
    <t>Parteienstaatlichkeit - Krisensymptome des Demokratischen Verfassungsstaats? Die öffentlichrechtliche Anstalt : Berichte und Diskussionen Auf der Tagung der Vereinigung der Deutschen Staatsrechtslehrer in Freiburg I. Ue/CH Vom 2. Bis 5. Oktober 1985</t>
  </si>
  <si>
    <t>Bürgerverantwortung Im Demokratischen Verfassungsstaat / Kontrolle der Verwaltung Durch Rechnungshöfe : Berichte und Diskussionen Auf der Tagung der Vereinigung der Deutschen Staatsrechtslehrer in Wien Vom 4. Bis 7. Oktober 1995</t>
  </si>
  <si>
    <t>Verträge Zwischen Gliedstaaten Im Bundesstaat. Schranken Nichthoheitlicher Verwaltung : Aussprache Zu Den Berichten in Den Verhandlungen der Tagung der Deutschen Staatsrechtslehrer Zu Köln Vom 12. Bis 15. Oktober 1960</t>
  </si>
  <si>
    <t>Die Staatsrechtliche Stellung der Ausländer in der Bundesrepublik Deutschland. Vertrauensschutz Im Verwaltungsrecht : Berichte und Diskussionen Auf der Tagung der Vereinigung der Deutschen Staatsrechtslehrer in Mannheim Vom 3. Bis 6. Oktober 1973</t>
  </si>
  <si>
    <t>Der Deutsche Föderalismus. Die Diktatur des Reichspräsidenten : Verhandlungen der Tagung der Deutschen Staatsrechtslehrer Zu Jena Am 14. und 15. April 1924. Mit Eröffnungsansprache und Einer Zusammenfassung der Diskussionsreden</t>
  </si>
  <si>
    <t>Gemeinschaftsaufgaben Im Bundesstaat. Partizipation an Verwaltungsentscheidungen : Berichte und Diskussionen Auf der Tagung der Vereinigung der Deutschen Staatsrechtslehrer in Salzburg Vom 4. Bis 7. Oktober 1972</t>
  </si>
  <si>
    <t>Das Grundgesetz und Die öffentliche Gewalt Internationaler Staatengemeinschaften. der Plan Als Verwaltungsrechtliches Institut : Berichte und Aussprache Zu Den Berichten in Den Verhandlungen der Tagung der Deutschen Staatsrechtslehrer Zu Erlangen Vom 7. Bis 9. Oktober 1959</t>
  </si>
  <si>
    <t>Die Verfassungsrechtliche Stellung der Politischen Parteien Im Modernen Staat. das Verwaltungsverfahren : Berichte und Auszug Aus der Aussprache Zu Den Berichten in Den Verhandlungen der Tagung der Deutschen Staatsrechtslehrer Zu Wien Am 9. und 10. Oktober 1958</t>
  </si>
  <si>
    <t>Die Staatliche Intervention Im Bereich der Wirtschaft. Rechtsformen und Rechtsschutz. Die Gegenwartslage des Staatskirchenrechts : Verhandlungen der Tagung der Deutschen Staatsrechtslehrer Zu Marburg Am 16. und 17. Oktober 1952. Mit Einem Auszug Aus der Aussprache</t>
  </si>
  <si>
    <t>Prinzipien der Verfassungsinterpretation. Gefährdungshaftung Im öffentlichen Recht : Aussprache Zu Den Berichten in Den Verhandlungen der Tagung der Deutschen Staatsrechtslehrer Zu Freiburg Vom 4. Bis 7. Oktober 1961</t>
  </si>
  <si>
    <t>Die Finanzverfassung Im Rahmen der Staatsverfassung. Verwaltung und Verwaltungsrechtsprechung : Berichte und Aussprache Zu Den Berichten in Den Verhandlungen der Tagung der Deutschen Staatsrechtslehrer Zu Hamburg Am 13. und 14. Oktober 1955</t>
  </si>
  <si>
    <t>Leistungsgrenzen des Verfassungsrechts. Öffentliche Gemeinwohlverantwortung Im Wandel : Berichte und Diskussionen Auf der Tagung der Vereinigung der Deutschen Staatsrechtslehrer in St. Gallen Vom 1. Bis 5. Oktober 2002</t>
  </si>
  <si>
    <t>Der Verfassungsstaat Im Geflecht der Internationalen Beziehungen. Gemeinden und Kreise Vor Den öffentlichen Aufgaben der Gegenwart : Berichte und Diskussionen Auf der Tagung der Vereinigung der Deutschen Staatsrechtslehrer in Basel Vom 5. Bis 8. Oktober 1977</t>
  </si>
  <si>
    <t>Europäische Union. Deutsches und Europäisches Verwaltungsrecht - Wechselseitige Einwirkungen : Gefahr Oder Chance Für Den Föderalismus in Deutschland, Österreich und der Schweiz? Berichte und Diskussionen Auf der Tagung der Vereinigung der Deutschen Staatsrechtslehrer in Mainz Vom 6. Bis 9. Oktober 1993</t>
  </si>
  <si>
    <t>Die Verfassungsgerichtsbarkeit Im Gefüge der Staatsfunktionen. Besteuerung und Eigentum : Berichte und Diskussionen Auf der Tagung der Vereinigung der Deutschen Staatsrechtslehrer Zu Innsbruck Vom 1. Bis 4. Oktober 1980</t>
  </si>
  <si>
    <t>Bewahrung und Veränderung Demokratischer und Rechtsstaatlicher Verfassungsstruktur in Den Internationalen Gemeinschaften. Verwaltung und Schule : Aussprache Zu Den Berichten in Den Verhandlungen der Tagung der Deutschen Staatsrechtslehrer Zu Kiel Vom 9. Bis 12. Oktober 1964</t>
  </si>
  <si>
    <t>Der Schutz des öffentlichen Rechts. Die Neueste Entwicklung des Gemeindeverfassungsrechts : Verhandlungen der Tagung der Deutschen Staatsrechtslehrer Zu Leipzig Am 10. und 11. März 1925. Mit Eröffnungs- und Begrüßungsansprachen Sowie Einer Zusammenfassung der Diskussionsreden</t>
  </si>
  <si>
    <t>Die Kirchen Unter Dem Grundgesetz. Führung und Organisation der Streitkräfte Im Demokratisch-Parlamentarischen Staat : Aussprache Zu Den Berichten in Den Verhandlungen der Tagung der Deutschen Staatsrechtslehrer Zu Frankfurt Am Main Vom 4. Bis 7. Oktober 1967</t>
  </si>
  <si>
    <t>Öffentlicher Haushalt und Wirtschaft. Die Stellung der Studenten in der Universität : Aussprache Zu Den Berichten in Den Verhandlungen der Tagung der Deutschen Staatsrechtslehrer Zu Bochum Vom 2. Bis 5. Oktober 1968</t>
  </si>
  <si>
    <t>Verfassungstreue und Schutz der Verfassung. der öffentliche Dienst Im Staat der Gegenwart : Berichte und Diskussionen Auf der Tagung der Vereinigung der Deutschen Staatsrechtslehrer in Bonn Vom 4. - 7. Oktober 1978</t>
  </si>
  <si>
    <t>Kulturauftrag Im Staatlichen Gemeinwesen. Die Steuerung des Verwaltungshandelns Durch Haushaltsrecht und Haushaltskontrolle : Berichte und Diskussionen Auf der Tagung der Vereinigung der Deutschen Staatsrechtslehrer in Köln Vom 28. September Bis 1. Oktober 1983</t>
  </si>
  <si>
    <t>Grundsätze der Finanzverfassung des Vereinten Deutschlands. Verträge und Absprachen Zwischen der Verwaltung und Privaten : Berichte und Diskussionen Auf der Tagung der Vereinigung der Deutschen Staatsrechtslehrer in Bayreuth Vom 7. Bis 10. Oktober 1992</t>
  </si>
  <si>
    <t>Grundpflichten Als Verfassungsrechtliche Dimension. Verwaltungsverfahren Zwischen Verwaltungseffizienz und Rechtsschutzauftrag : Berichte und Diskussionen Auf der Tagung der Vereinigung der Deutschen Staatsrechtslehrer in Konstanz Vom 6. Bis 9. Oktober 1982</t>
  </si>
  <si>
    <t>Erziehungsauftrag und Erziehungsmaßstab der Schule Im Freiheitlichen Verfassungsstaat. Privatisierung Von Verwaltungsaufgaben : Berichte und Diskussionen Auf der Tagung der Vereinigung der Deutschen Staatsrechtslehrer in Halle/Saale Vom 5. Bis 8. Oktober 1994</t>
  </si>
  <si>
    <t>Das Staatsoberhaupt in der Parlamentarischen Demokratie. Verwaltung Durch Subventionen : Aussprache Zu Den Berichten in Den Verhandlungen der Tagung der Deutschen Staatsrechtslehrer Zu Graz Vom 12. Bis 15. Oktober 1966</t>
  </si>
  <si>
    <t>Unternehmen und Unternehmer in der Verfassungsrechtlichen Ordnung der Wirtschaft. der Schutz der Allgemeinheit und der Individuellen Rechte Durch Die Polizei- und Ordnungsrechtlichen Handlungsvollmachten der Exekutive : Berichte und Diskussionen Auf der Tagung der Vereinigung der Deutschen Staatsrechtslehrer in Heidelberg Vom 6. Bis 9. Oktober 1976</t>
  </si>
  <si>
    <t>Föderalismus Als Nationales und Internationales Ordnungsprinzip. Die öffentliche Sache : Aussprache Zu Den Berichten in Den Verhandlungen der Tagung der Deutschen Staatsrechtslehrer Zu Münster (Westfalen) Vom 3. Bis 6. Oktober 1962</t>
  </si>
  <si>
    <t>Der Rechtsstaat und Die Aufarbeitung der Vor-Rechtsstaatlichen Vergangenheit. Eigentumsschutz, Sozialbindung und Enteignung Bei der Nutzung Von Boden und Umwelt : Berichte und Diskussionen Auf der Tagung der Vereinigung der Deutschen Staatsrechtslehrer in Gießen Vom 2. Bis 5. Oktober 1991</t>
  </si>
  <si>
    <t>Verfassungsgarantie und Sozialer Wandel. das Beispiel Von Ehe und Familie. Rechtsverhältnisse in der Leistungsverwaltung : Berichte und Diskussionen Auf der Tagung der Vereinigung der Deutschen Staatsrechtslehrer in München Vom 15. Bis 18. Oktober 1986</t>
  </si>
  <si>
    <t>Wesen und Entwicklung der Staatsgerichtsbarkeit. Überprüfung Von Verwaltungsakten Durch Die Ordentlichen Gerichte : Verhandlungen der Tagung der Deutschen Staatsrechtslehrer Zu Wien Am 23. und 24. April 1928. Mit Einem Auszug Aus der Aussprache</t>
  </si>
  <si>
    <t>Deutschland Nach 30 Jahren Grundgesetz. Staatsaufgabe Umweltschutz : Berichte und Diskussionen Auf der Tagung der Vereinigung der Deutschen Staatsrechtslehrer in Berlin Vom 3. - 6. Oktober 1979</t>
  </si>
  <si>
    <t>Der Gleichheitssatz. Gesetzesgestaltung und Gesetzesanwendung Im Leistungsrecht : Berichte und Diskussionen Auf der Tagung der Vereinigung der Deutschen Staatsrechtslehrer in Tübingen Vom 5. Bis 8. Oktober 1988</t>
  </si>
  <si>
    <t>Gesetzgebung Im Rechtsstaat. Selbstbindungen der Verwaltung : Berichte und Diskussionen Auf der Tagung der Vereinigung der Deutschen Staatsrechtslehrer in Trier Vom 30. September - 3. Oktober 1981</t>
  </si>
  <si>
    <t>Bundesstaatliche und Gliedstaatliche Rechtsordnung. Verwaltungsrecht der öffentlichen Anstalt : Verhandlungen der Tagung der Deutschen Staatsrechtslehrer Zu Frankfurt A. M. Am 25. und 26. April 1929. Mit Einem Auszug Aus der Aussprache</t>
  </si>
  <si>
    <t>Die Deutsche Staatsrechtslehre in der Zeit des Nationalsozialismus. Europäisches und Nationales Verfassungsrecht. der Staat Als Wirtschaftssubjekt und Auftraggeber : Berichte und Diskussionen Auf der Tagung der Vereinigung der Deutschen Staatsrechtslehrer in Leipzig Vom 4. Bis 6. Oktober 2000</t>
  </si>
  <si>
    <t>Das Parlamentarische Regierungssystem und der Bundesrat - Entwicklungsstand und Reformbedarf. Rechtliche Optimierungsgebote Oder Rahmensetzungen Für das Verwaltungshandeln? : Berichte und Diskussionen Auf der Tagung der Vereinigung der Deutschen Staatsrechtslehrer in Potsdam Vom 7. Bis 10. Oktober 1998</t>
  </si>
  <si>
    <t>Grundrechte Im Leistungsstaat. Die Dogmatik des Verwaltungsrechts Vor Den Gegenwartsaufgaben der Verwaltung : Berichte und Diskussionen Auf der Tagung der Vereinigung der Deutschen Staatsrechtslehrer in Regensburg Vom 29. September Bis 2. Oktober 1971</t>
  </si>
  <si>
    <t>Entwicklung und Reform des Beamtenrechts. Die Reform des Wahlrechts : Verhandlungen der Tagung der Deutschen Staatsrechtslehrer Zu Halle Am 28. und 29. Oktober 1931. Mit Einem Auszug Aus der Aussprache</t>
  </si>
  <si>
    <t>Das Grundrecht der Gewissensfreiheit. Die Rechtsformen der Sozialen Sicherung und das Allgemeine Verwaltungsrecht : Berichte und Diskussionen Auf der Tagung der Vereinigung der Deutschen Staatsrechtslehrer in Bern Am 2. und 3. Oktober 1969</t>
  </si>
  <si>
    <t>Parlament und Regierung Im Modernen Staat. Die Organisationsgewalt : Berichte und Aussprache Zu Den Berichten in Den Verhandlungen der Tagung der Deutschen Staatsrechtslehrer Zu Berlin Am 10. und 11. Oktober 1957</t>
  </si>
  <si>
    <t>Das Demokratische Prinzip Im Grundgesetz. Die Erfüllung Von Verwaltungsaufgaben Durch Private : Berichte und Diskussionen Auf der Tagung der Vereinigung der Deutschen Staatsrechtslehrer in Speyer Am 8. und 9. Oktober 1970</t>
  </si>
  <si>
    <t>Staat und Verbände. Gesetzgeber und Verwaltung : Aussprache Zu Den Berichten in Den Verhandlungen der Tagung der Deutschen Staatsrechtslehrer Zu Würzburg Vom 6. Bis 9. Oktober 1965</t>
  </si>
  <si>
    <t>Pressefreiheit. Staatsaufsicht in Verwaltung und Wirtschaft : Aussprache Zu Den Berichten in Den Verhandlungen der Tagung der Deutschen Staatsrechtslehrer Zu Saarbrücken Vom 9. Bis 12. Oktober 1963</t>
  </si>
  <si>
    <t>Kontrolle der Auswärtigen Gewalt. Verwaltung und Verwaltungsrecht Zwischen Gesellschaftlicher Selbstregulierung und Staatlicher Steuerung : Berichte und Diskussionen Auf der Tagung der Vereinigung der Deutschen Staatsrechtslehrer in Dresden Vom 2. Bis 5. Oktober 1996</t>
  </si>
  <si>
    <t>Akten Zur Auswärtigen Politik der Bundesrepublik Deutschland 1952</t>
  </si>
  <si>
    <t>Akten Zur Auswärtigen Politik der Bundesrepublik Deutschland 1951</t>
  </si>
  <si>
    <t>Akten Zur Auswärtigen Politik der Bundesrepublik Deutschland 1970</t>
  </si>
  <si>
    <t>Akten Zur Auswärtigen Politik der Bundesrepublik Deutschland 1967</t>
  </si>
  <si>
    <t>Akten Zur Auswärtigen Politik der Bundesrepublik Deutschland 1949-1950</t>
  </si>
  <si>
    <t>Akten Zur Auswärtigen Politik der Bundesrepublik Deutschland 1969</t>
  </si>
  <si>
    <t>Akten Zur Auswärtigen Politik der Bundesrepublik Deutschland 1968</t>
  </si>
  <si>
    <t>Akten Zur Auswärtigen Politik der Bundesrepublik Deutschland 1966</t>
  </si>
  <si>
    <t>Akten Zur Auswärtigen Politik der Bundesrepublik Deutschland 1965</t>
  </si>
  <si>
    <t>Akten Zur Auswärtigen Politik der Bundesrepublik Deutschland 1963</t>
  </si>
  <si>
    <t>Akten Zur Auswärtigen Politik der Bundesrepublik Deutschland 1953</t>
  </si>
  <si>
    <t>Kriegsgefangenschaft in Großbritannien : Deutsche Soldaten des Zweiten Weltkriegs in Britischem Gewahrsam</t>
  </si>
  <si>
    <t>Deutsche Kaufleute in London : Welthandel und Einbürgerung (1660-1818)</t>
  </si>
  <si>
    <t>Faire des Sujets du Roi : Rechtspolitik in Metz, Toul und Verdun Unter Französischer Herrschaft (1552-1648)</t>
  </si>
  <si>
    <t>Vergeben und Vergessen? Pardonner et Oublier? : Vergangenheitsdiskurse Nach Besatzung, Bürgerkrieg und Revolution. les Discours Sur le Passé Après l'occupation, la Guerre Civile et la Révolution</t>
  </si>
  <si>
    <t>Französische Herrschaftspolitik und Modernisierung : Verwaltungs- und Verfassungsreformen Im Großherzogtum Berg (1806-1813)</t>
  </si>
  <si>
    <t>Der Mögliche Frieden : Die Modernisierung der Außenpolitik und Die Deutsch-Französischen Beziehungen 1923-1929</t>
  </si>
  <si>
    <t>Schön Wie Venus, Mutig Wie Mars : Anna d'Este, Herzogin Von Guise und Von Nemours (1531-1607)</t>
  </si>
  <si>
    <t>Die Rückkehr der Deutschen Geschichtswissenschaft in Die Ökumene der Historiker : Ein Wissenschaftsgeschichtlicher Ansatz</t>
  </si>
  <si>
    <t>Der Weg in Die Terreur : Radikalisierung und Konflikte Im Straßburger Jakobinerclub (1790-1795)</t>
  </si>
  <si>
    <t>Kultfigur und Nation : Öffentliche Denkmäler in Paris, Berlin und London 1848-1914</t>
  </si>
  <si>
    <t>Deutsche Kulturpolitik Im Besetzten Paris 1940-1944: Film und Theater : Film und Theater</t>
  </si>
  <si>
    <t>Figurationen des Staates in Deutschland und Frankreich 1870-1945. les Figures de l'État en Allemagne et en France</t>
  </si>
  <si>
    <t>André François-Poncet Als Botschafter in Berlin (1931-1938)</t>
  </si>
  <si>
    <t>Étrennes : Untersuchungen Zum Höfischen Geschenkverkehr Im Spätmittelalterlichen Frankreich Zur Zeit König Karls VI. (1380-1422)</t>
  </si>
  <si>
    <t>Jewish Religion after Theology</t>
  </si>
  <si>
    <t>Academic Studies Press</t>
  </si>
  <si>
    <t>In Quest of Tolstoy</t>
  </si>
  <si>
    <t>The Marsh of Gold : Pasternak's Writings on Inspiration and Creation</t>
  </si>
  <si>
    <t>A Reader's Guide to Nabokov's 'Lolita'</t>
  </si>
  <si>
    <t>Early Modern Russian Letters : Texts and Contexts</t>
  </si>
  <si>
    <t>Language and Culture in Eighteenth-Century Russia : Studies in Slavic and Russian Literatures, Cultures and History</t>
  </si>
  <si>
    <t>Ivan Konevskoi : Wise Child of Russian Symbolism</t>
  </si>
  <si>
    <t>Exotic Moscow under Western Eyes</t>
  </si>
  <si>
    <t>The Superstitious Muse : Thinking Russian Literature Mythopoetically</t>
  </si>
  <si>
    <t>A Companion to Andrei Platonov's the Foundation Pit</t>
  </si>
  <si>
    <t>Exemplary Bodies : Constructing the Jew in Russian Culture, 1880s To 2008</t>
  </si>
  <si>
    <t>The Goalkeeper : The Nabokov Almanac</t>
  </si>
  <si>
    <t>A Labyrinth of Linkages in Tolstoy's Anna Karenina : Studies In Russian and Slavic Literatures, Cultures and History</t>
  </si>
  <si>
    <t>Holy Russia, Sacred Israel : Jewish-Christian Encounters in Russian Religious Thought</t>
  </si>
  <si>
    <t>All the Same the Words Don't Go Away : Essays on Authors, Heroes, Aesthetics, and Stage Adaptations from the Russian Tradition</t>
  </si>
  <si>
    <t>Vladimir Soloviev and the Spiritualization of Matter</t>
  </si>
  <si>
    <t>Dreams of Nationhood : American Jewish Communists and the Soviet Birobidzhan Project, 1924-1951</t>
  </si>
  <si>
    <t>A Coat of Many Colors : Dress Culture in the Young State of Israel</t>
  </si>
  <si>
    <t>Epic and the Russian Novel from Gogol to Pasternak</t>
  </si>
  <si>
    <t>Life in Transit : Jews in Postwar Lodz, 1945-1950</t>
  </si>
  <si>
    <t>Charms of the Cynical Reason : Tricksters in Soviet and Post-Soviet Culture</t>
  </si>
  <si>
    <t>Cultures in Collision and Conversation : Essays in the Intellectual History of the Jews</t>
  </si>
  <si>
    <t>Keys to the Gift : A Guide to Vladimir Nabokov's Novel</t>
  </si>
  <si>
    <t>Creating the Empress : Politics and Poetry in the Age of Catherine II</t>
  </si>
  <si>
    <t>The Müselmann at the Water Cooler</t>
  </si>
  <si>
    <t>Alfred Dreyfus : Man, Milieu, Mentality and Midrash</t>
  </si>
  <si>
    <t>Sex Rewarded, Sex Punished : A Study of the Status 'Female Slave' in Early Jewish Law</t>
  </si>
  <si>
    <t>Jacob's Ladder : Kabbalistic Allegory in Russian Literature</t>
  </si>
  <si>
    <t>Strangers in a Strange Land : Occidentalist Publics and Orientalist Geographies in Nineteenth-Century Georgian Imaginaries</t>
  </si>
  <si>
    <t>Babel' in Context : A Study in Cultural Identity</t>
  </si>
  <si>
    <t>Chapaev and His Comrades : War and the Russian Literary Hero Across the Twentieth Century</t>
  </si>
  <si>
    <t>Tsar and God and Other Essays in Russian Cultural Semiotics</t>
  </si>
  <si>
    <t>Close Encounters : Essays on Russian Literature</t>
  </si>
  <si>
    <t>Shapes of Apocalypse : Arts and Philosophy in Slavic Thought</t>
  </si>
  <si>
    <t>Turn It and Turn It Again : Studies in the Teaching and Learning of Classical Jewish Texts</t>
  </si>
  <si>
    <t>Russians Abroad : Literary and Cultural Politics of Diaspora (1919-1939)</t>
  </si>
  <si>
    <t>The Invention of Mikhail Lomonosov : A Russian National Myth</t>
  </si>
  <si>
    <t>Freedom from Violence and Lies : Essays on Russian Poetry and Music by Simon Karlinsky</t>
  </si>
  <si>
    <t>New Perspectives in Theology of Judaism</t>
  </si>
  <si>
    <t>Prosaics and Other Provocations : Empathy, Open Time, and the Novel</t>
  </si>
  <si>
    <t>The Englishman from Lebedian : A Life of Evgeny Zamiatin</t>
  </si>
  <si>
    <t>Russian Idea--Jewish Presence : Essays on Russian-Jewish Intellectual Life</t>
  </si>
  <si>
    <t>Russian Monarchy : Representation and Rule</t>
  </si>
  <si>
    <t>Landmarks Revisited : The Vekhi Symposium One Hundred Years On</t>
  </si>
  <si>
    <t>Mo(ve)ments of Resistance : Politics, Economy and Society in Israel/Palestine, 1931-2013</t>
  </si>
  <si>
    <t>Crafting the 613 Commandments : Maimonides on the Enumeration, Classification, and Formulation of the Spiritual Commandments</t>
  </si>
  <si>
    <t>Belomor : Criminality and Creativity in Stalin's Gulag</t>
  </si>
  <si>
    <t>Carnival in Tel Aviv : Purim and the Celebration of Urban Zionism</t>
  </si>
  <si>
    <t>Visual Texts, Ceremonial Texts, Texts of Exploration : Collected Articles on the Representation of Russian Monarchy</t>
  </si>
  <si>
    <t>Soviet Jews in World War II : Fighting, Witnessing, Remembering</t>
  </si>
  <si>
    <t>Italian Jewry in the Early Modern Era : Essays in Intellectual History</t>
  </si>
  <si>
    <t>By Fables Alone : Literature and State Ideology in Late-Eighteenth - Early-Nineteenth-Century Russia</t>
  </si>
  <si>
    <t>The Witching Hour and Other Plays by Nina Sadur</t>
  </si>
  <si>
    <t>The Codification of Jewish Law and an Introduction to the Jurisprudence of the Mishna Berura</t>
  </si>
  <si>
    <t>Poetry and Psychiatry : Essays on Early Twentieth-Century Russian Symbolist Culture</t>
  </si>
  <si>
    <t>Detection of Pathogens in Water Using Micro and Nano-Technology</t>
  </si>
  <si>
    <t>IWA Publishing</t>
  </si>
  <si>
    <t>Environmental Technologies to Treat Sulfur Pollution</t>
  </si>
  <si>
    <t>Computational Hydraulics</t>
  </si>
  <si>
    <t>Benchmarking of Control Strategies for Wastewater Treatment Plants</t>
  </si>
  <si>
    <t>Applications of Activated Sludge Models</t>
  </si>
  <si>
    <t>Stalinism Revisited : The Establishment of Communist Regimes in East-Central Europe</t>
  </si>
  <si>
    <t>Central European University Press</t>
  </si>
  <si>
    <t>South Pacific Museums : Experiments in Culture</t>
  </si>
  <si>
    <t>Monash University Publishing</t>
  </si>
  <si>
    <t>The Living Stream : Yeats Annual No. 18</t>
  </si>
  <si>
    <t>Open Book Publishers</t>
  </si>
  <si>
    <t>Foundations for Moral Relativism</t>
  </si>
  <si>
    <t>A People Passing Rude : British Responses to Russian Culture</t>
  </si>
  <si>
    <t>Text and Genre in Reconstruction : Effects of Digitalization on Ideas, Behaviours, Products and Institutions</t>
  </si>
  <si>
    <t>The End and the Beginning : The Book of My Life</t>
  </si>
  <si>
    <t>Les Bienveillantes de Jonathan Littell : Études Réunies Par Murielle Lucie Clément</t>
  </si>
  <si>
    <t>Digital Humanities Pedagogy : Practices, Principles and Politics</t>
  </si>
  <si>
    <t>Why Do We Quote? : The Culture and History of Quotation</t>
  </si>
  <si>
    <t>The Theatre of Shelley</t>
  </si>
  <si>
    <t>Frontier Encounters : Knowledge and Practice at the Russian, Chinese and Mongolian Border</t>
  </si>
  <si>
    <t>The Digital Public Domain : Foundations for an Open Culture</t>
  </si>
  <si>
    <t>Bourdieu and Literature</t>
  </si>
  <si>
    <t>Peace and Democratic Society</t>
  </si>
  <si>
    <t>Letters of Blood and Other Works in English</t>
  </si>
  <si>
    <t>Cicero, Against Verres, 2. 1. 53-86 : Latin Text with Introduction, Study Questions, Commentary and English Translation</t>
  </si>
  <si>
    <t>The End of the World : Apocalypse and Its Aftermath in Western Culture</t>
  </si>
  <si>
    <t>Women in Nineteenth-Century Russia : Lives and Culture</t>
  </si>
  <si>
    <t>The Passion of Max Von Oppenheim : Archaeology and Intrigue in the Middle East from Wilhelm II to Hitler</t>
  </si>
  <si>
    <t>Oral Literature in Africa</t>
  </si>
  <si>
    <t>Coleridge's Laws : A Study of Coleridge in Malta</t>
  </si>
  <si>
    <t>The Sword of Judith : Judith Studies Across the Disciplines</t>
  </si>
  <si>
    <t>Privilege and Property : Essays on the History of Copyright</t>
  </si>
  <si>
    <t>The Altering Eye : Contemporary International Cinema</t>
  </si>
  <si>
    <t>Brownshirt Princess : A Study of the 'Nazi Conscience'</t>
  </si>
  <si>
    <t>That Greece Might Still Be Free : The Philhellenes in the War of Independence</t>
  </si>
  <si>
    <t>Telling Tales : The Impact of Germany on English Children's Books 1780-1918</t>
  </si>
  <si>
    <t>Virgil, Aeneid, 4. 1-299 : Latin Text, Study Questions, Commentary and Interpretative Essays</t>
  </si>
  <si>
    <t>Is Behavioral Economics Doomed? : The Ordinary Versus the Extraordinary</t>
  </si>
  <si>
    <t>Economic Fables</t>
  </si>
  <si>
    <t>Henry James's Europe : Heritage and Transfer</t>
  </si>
  <si>
    <t>Storytelling in Northern Zambia : Theory, Method, Practice and Other Necessary Fictions</t>
  </si>
  <si>
    <t>The Classic Short Story, 1870-1925 : Theory of a Genre</t>
  </si>
  <si>
    <t>On History : Introduction to World History (1831)</t>
  </si>
  <si>
    <t>Xiipúktan (First of All) : Three Views of the Origins of the Quechan People</t>
  </si>
  <si>
    <t>Beyond Holy Russia : The Life and Times of Stephen Graham</t>
  </si>
  <si>
    <t>Tacitus, Annals, 15. 20-23, 33-45 : Latin Text, Study Aids with Vocabulary, and Commentary</t>
  </si>
  <si>
    <t>Yeats's Mask : Yeats Annual No. 19</t>
  </si>
  <si>
    <t>How to Read a Folktale : The 'Ibonia' Epic from Madagascar</t>
  </si>
  <si>
    <t>Feeding the City : Work and Food Culture of the Mumbai Dabbawalas</t>
  </si>
  <si>
    <t>Oral Literature in the Digital Age : Archiving Orality and Connecting with Communities</t>
  </si>
  <si>
    <t>A Time Travel Dialogue</t>
  </si>
  <si>
    <t>In the Lands of the Romanovs : An Annotated Bibliography of First-Hand English-language Accounts of the Russian Empire (1613-1917)</t>
  </si>
  <si>
    <t>Cicero, on Pompey's Command (de Imperio), 27-49 : Latin Text, Study Aids with Vocabulary, Commentary, and Translation</t>
  </si>
  <si>
    <t>Denis Diderot's Rameau's Nephew</t>
  </si>
  <si>
    <t>The Anglo-Scottish Ballad and Its Imaginary Contexts</t>
  </si>
  <si>
    <t>Géographie des Interfaces : Une Nouvelle Vision des Territoires</t>
  </si>
  <si>
    <t>Quae</t>
  </si>
  <si>
    <t>Une Histoire des Plantes Coloniales : Du Cacao à la Vanille</t>
  </si>
  <si>
    <t>Le Fonio, une Céréale Africaine</t>
  </si>
  <si>
    <t>Qualité du Matériel Forestier de Reproduction et Application des Directives Communautaires</t>
  </si>
  <si>
    <t>Le Couple Produit/territoire : Régulation Ago-Antagoniste Entre Projet Individuel et Projet Collectif : régulation ago-antagoniste entre projet individuel et projet collectif</t>
  </si>
  <si>
    <t>Montagne, Laboratoire de la Diversité</t>
  </si>
  <si>
    <t>Territoires Ruraux et développement. Quel Rôle Pour la Recherche ?</t>
  </si>
  <si>
    <t>Éléments d'hydraulique Torrentielle</t>
  </si>
  <si>
    <t>Guide Neige et Avalanches. Connaissances, Pratiques, Sécurité</t>
  </si>
  <si>
    <t>Lacs de Haute Altitude. Méthodes d'échantillonnage Ichtyologique. Gestion Piscicole</t>
  </si>
  <si>
    <t>Conséquences d'un Incendie de forêt Dans le Bassin Versant du Rimbaud</t>
  </si>
  <si>
    <t>Volatilisation de l'azote Ammoniacal des Lisiers Après épandage : Quantification et étude des Facteurs D'influence</t>
  </si>
  <si>
    <t>Pratiques et Stratégies Foncières des Agriculteurs : Un Outil d'analyse Pour l'aménagement des Zones Fragiles</t>
  </si>
  <si>
    <t>Produits Phytosanitaires. Processus de Transfert et Modélisation Dans les Bassins Versants : Séminaire de Nançy : 22 et 23 Mai 1996</t>
  </si>
  <si>
    <t>Typologie Aquacole des Marais Salants de la Côte Atlantique</t>
  </si>
  <si>
    <t>La Mesure économique des Bénéfices Attachés Aux Hydrosystèmes</t>
  </si>
  <si>
    <t>Coopérations, Territoires et Entreprises Agroalimentaires</t>
  </si>
  <si>
    <t>Techniques de Reboisement : Guide Technique du Forestier Méditerranéen Français. Chapitre 7</t>
  </si>
  <si>
    <t>Plantation d'arbres en Prairie Pâturée</t>
  </si>
  <si>
    <t>Les Bassins Versants Expérimentaux de Draix. Laboratoire d'étude de l'érosion en Montagne</t>
  </si>
  <si>
    <t>Le Pivot</t>
  </si>
  <si>
    <t>De l'expertise Scientifique Au Risque Négocié. le Cas du Risque en Montagne</t>
  </si>
  <si>
    <t>Etude de la Formation d'un Lit Torrentiel</t>
  </si>
  <si>
    <t>Stations Forestières : Guide Technique du Forestier Méditerranéen Français. Chapitre 2</t>
  </si>
  <si>
    <t>Ramiran 98 Actes de la 8e Conférence Internationale Sur les Stratégies de Gestion des déchets Organiques en Agriculture : Vol. 1: Proceedings of the Oral Presentations</t>
  </si>
  <si>
    <t>Agriculteurs, Agricultures et Forêts</t>
  </si>
  <si>
    <t>Du Concept de BVRE à Celui de Zone Atelier Dans les Recherches Menées en Eaux Continentales</t>
  </si>
  <si>
    <t>Guide Pour le Diagnostic Rapide des Barrages Anciens</t>
  </si>
  <si>
    <t>Compte-Rendu de Recherches N° 3 BVRE de Draix</t>
  </si>
  <si>
    <t>Rhéologie des Boues et Laves Torrentielles : Étude de Dispersions et Suspensions Concentrées</t>
  </si>
  <si>
    <t>Perception Publique et Attitudes des Propriétaires Envers la forêt en Europe : Commentaires et Synthèses du Groupe de Travail COST E3 - WG1 1994-1998</t>
  </si>
  <si>
    <t>Insufflation d'air Fines Bulles Application Aux Stations d'épuration en Boues Activées des Petites Collectivités : Document Technique FNDAE N° 26</t>
  </si>
  <si>
    <t>Estimation de l'évapotranspiration Par Télédétection</t>
  </si>
  <si>
    <t>L' apiculture</t>
  </si>
  <si>
    <t>Production de Plants Forestiers : Guide Technique du Forestier Méditerranéen Français. Chapitre 6</t>
  </si>
  <si>
    <t>La Neige: Recherche et Réglementation : recherche et réglementation</t>
  </si>
  <si>
    <t>Séminaire de Rhéologie</t>
  </si>
  <si>
    <t>Typologie des Stations Forestières du Massif Sainte-Victoire</t>
  </si>
  <si>
    <t>Le Golfe du Lion : Un Observatoire de l'environnement en Méditerranée</t>
  </si>
  <si>
    <t>Les Maladies émergentes : Épidémiologie Chez le Végétal, l'animal et L'homme</t>
  </si>
  <si>
    <t>Forests, Carbon Cycle and Climate Change</t>
  </si>
  <si>
    <t>Les Pêches Côtières Bretonnes : Méthodes d'analyse et Aménagement</t>
  </si>
  <si>
    <t>Homme et Animal, la Question des Frontières</t>
  </si>
  <si>
    <t>Génétiquement Indéterminé : Le Vivant Auto-Organisé</t>
  </si>
  <si>
    <t>Surveillance, Maintenance and Diagnosis of Flood Protection Dikes : A Practical Handbook for Owners and Operators</t>
  </si>
  <si>
    <t>Marine Renewable Energies : Prospective Foresight Study For 2030</t>
  </si>
  <si>
    <t>La Santé Animale 2 : 2. Principales Maladies</t>
  </si>
  <si>
    <t>La Santé Animale : 1. Généralités</t>
  </si>
  <si>
    <t>Les Semences</t>
  </si>
  <si>
    <t>Du Cemagref à Irstea : Un Engagement Pour la Recherche Environnementale</t>
  </si>
  <si>
    <t>Le Virus du Nil Occidental</t>
  </si>
  <si>
    <t>Le Palmier à Huile en Plantation Villageoise</t>
  </si>
  <si>
    <t>Le Sorgho</t>
  </si>
  <si>
    <t>Féminin-Masculin : Genre et Agricultures Familiales</t>
  </si>
  <si>
    <t>Les Cultures Fourragères</t>
  </si>
  <si>
    <t>Comportement, Conduite et Bien-être Animal</t>
  </si>
  <si>
    <t>Diversité des Agricultures Familiales : Exister, Se Transformer, Devenir</t>
  </si>
  <si>
    <t>American Dolorologies : Pain, Sentimentalism, Biopolitics</t>
  </si>
  <si>
    <t>State University of New York Press</t>
  </si>
  <si>
    <t>Immigrant Protest : Politics, Aesthetics, and Everyday Dissent</t>
  </si>
  <si>
    <t>Defending Women's Rights in Europe : Gender Equality and EU Enlargement</t>
  </si>
  <si>
    <t>World Politics at the Edge of Chaos : Reflections on Complexity and Global Life</t>
  </si>
  <si>
    <t>When Protest Makes Policy : How Social Movements Represent Disadvantaged Groups</t>
  </si>
  <si>
    <t>University of Michigan Press</t>
  </si>
  <si>
    <t>Word and Image in Russian History : Essays in Honor of Gary Marker</t>
  </si>
  <si>
    <t>The First to Be Destroyed : The Jewish Community of Kleczew and the Beginning of the Final Solution</t>
  </si>
  <si>
    <t>Costing Improved Water Supply Systems for Low-Income Communities : A Practical Manual</t>
  </si>
  <si>
    <t>Thomas Annan of Glasgow : Pioneer of the Documentary Photograph</t>
  </si>
  <si>
    <t>From Dust to Digital : Ten Years of the Endangered Archives Programme</t>
  </si>
  <si>
    <t>Measuring the Master Race : Physical Anthropology in Norway 1890-1945</t>
  </si>
  <si>
    <t>Animals and Medicine : The Contribution of Animal Experiments to the Control of Disease</t>
  </si>
  <si>
    <t>The Scientific Revolution Revisited</t>
  </si>
  <si>
    <t>Fiesco's Conspiracy at Genoa</t>
  </si>
  <si>
    <t>Dictionary of the British English Spelling System</t>
  </si>
  <si>
    <t>Essays in Conveyancing and Property Law in Honour of Professor Robert Rennie</t>
  </si>
  <si>
    <t>Complexity, Security and Civil Society in East Asia : Foreign Policies and the Korean Peninsula</t>
  </si>
  <si>
    <t>What Works in Conservation : 2015</t>
  </si>
  <si>
    <t>Working on the Railroad, Walking in Beauty : Navajos, Hozho, and Track Work</t>
  </si>
  <si>
    <t>Go East, Young Man : Imagining the American West As the Orient</t>
  </si>
  <si>
    <t>Coal in Our Veins : A Personal Journey</t>
  </si>
  <si>
    <t>Pacific Strife : The Great Powers and Their Political and Economic Rivalries in Asia and the Western Pacific, 1870-1914</t>
  </si>
  <si>
    <t>Landscape Biographies : Geographical, Historical and Archaeological Perspectives on the Production and Transmission of Landscapes</t>
  </si>
  <si>
    <t>Feminisms : Diversity, Difference and Multiplicity in Contemporary Film Cultures</t>
  </si>
  <si>
    <t>Digital Passages : Migrant Youth 2. 0: Diaspora, Gender and Youth Cultural Intersections</t>
  </si>
  <si>
    <t>Farocki/Godard : Film As Theory</t>
  </si>
  <si>
    <t>Migration and Integration in Europe, Southeast Asia, and Australia : A Comparative Perspective</t>
  </si>
  <si>
    <t>Late-Career Risks in Changing Welfare States : Comparing Germany and the United States since The 1980s</t>
  </si>
  <si>
    <t>Players and Arenas : The Interactive Dynamics of Protest</t>
  </si>
  <si>
    <t>Observing Protest from a Place : The World Social Forum in Dakar (2011)</t>
  </si>
  <si>
    <t>Stumbling Blocks Before the Blind : Medieval Constructions of a Disability</t>
  </si>
  <si>
    <t>Defending Christian Faith : The Fifth Part of the Christian Apology of Gerasimus</t>
  </si>
  <si>
    <t>Optically Induced Nanostructures : Biomedical and Technical Applications</t>
  </si>
  <si>
    <t>The Sons of Scripture : The Karaites in Poland and Lithuania in the Twentieth Century</t>
  </si>
  <si>
    <t>Plant Life of Southwestern Australia : Adaptations for Survival</t>
  </si>
  <si>
    <t>Vergil´s Political Commentary : In the Eclogues, Georgics and Aeneid</t>
  </si>
  <si>
    <t>The I of the Storm : Understanding the Suicidal Mind</t>
  </si>
  <si>
    <t>Frankreichs Außenpolitik in der Julikrise 1914 : Ein Beitrag Zur Geschichte des Ausbruchs des Ersten Weltkrieges</t>
  </si>
  <si>
    <t>Das Deutsche Historische Institut Paris und Seine Gründungsväter : Ein Personengeschichtlicher Ansatz</t>
  </si>
  <si>
    <t>Abgrund Metz : Kriegserfahrung, Belagerungsalltag und Nationale Erziehung Im Schatten Einer Festung 1870/71</t>
  </si>
  <si>
    <t>Burgund und das Reich : Spätmittelalterliche Außenpolitik Am Beispiel der Regierung Karls des Kühnen (1465-1477)</t>
  </si>
  <si>
    <t>Computational Approaches to the Study of Movement in Archaeology : Theory, Practice and Interpretation of Factors and Effects of Long Term Landscape Formation and Transformation</t>
  </si>
  <si>
    <t>Initiation into the Mysteries of the Ancient World</t>
  </si>
  <si>
    <t>Prehistoric Mobility and Diet in the West Eurasian Steppes 3500 to 300 BC : An Isotopic Approach</t>
  </si>
  <si>
    <t>Geschichte Als Element Antiker Kultur : Die Griechen und Ihre Geschichte(n)</t>
  </si>
  <si>
    <t>Les 'autres' Rois : Études Sur la Royauté Comme Notion Hiérarchique Dans la Société Au Bas Moyen Âge et Au début de l'époque Moderne</t>
  </si>
  <si>
    <t>Ein 'neues' Deutschland? eine Deutsch-Französische Bilanz 20 Jahre Nach der Vereinigung : Une 'nouvelle' Allemagne? un Bilan Franco-Allemand 20 Ans Après L'unification</t>
  </si>
  <si>
    <t>Acteurs des Transferts Culturels en Méditerranée Médiévale</t>
  </si>
  <si>
    <t>Die Erfindung des Modernen Militarismus : Krieg, Militär und Bürgerliche Gesellschaft Im Politischen Denken der Französischen Revolution 1789-1799</t>
  </si>
  <si>
    <t>Suger en Question : Regards Croisés Sur Saint-Denis. Études Réunis Par Rolf Große</t>
  </si>
  <si>
    <t>Pierre Viénot (1897-1944): ein Intellektueller in der Politik : Ein Intellektueller in der Politik</t>
  </si>
  <si>
    <t>Der Europadiskurs Im Deutschen Exil 1933-1945</t>
  </si>
  <si>
    <t>Vibrant Architecture : Matter As a Codesigner of Living Structures</t>
  </si>
  <si>
    <t>The Challenge of Minority Integration : Politics and Policies in the Nordic Nations</t>
  </si>
  <si>
    <t>Mensch und Computer 2015 - Usability Professionals : Workshop</t>
  </si>
  <si>
    <t>Mensch und Computer 2015 - Workshopband</t>
  </si>
  <si>
    <t>Mensch und Computer 2015 - Tagungsband</t>
  </si>
  <si>
    <t>Communication and Materiality : Written and Unwritten Communication in Pre-Modern Societies</t>
  </si>
  <si>
    <t>Rating EFL Written Performance</t>
  </si>
  <si>
    <t>Comparaisons, Raisons, Raisons D'État : Les Politiques de la République des Lettres Au Tournant du XVIIe Siècle</t>
  </si>
  <si>
    <t>Der Munizipalsozialismus in Europa /le Socialisme Municipal en Europe</t>
  </si>
  <si>
    <t>Die Gleichheit Vor Dem Gesetz Im Sinne des Art. 109 der Reichsverfassung. der Einfluß des Steuerrechts Auf Die Begriffsbildung des öffentlichen Rechts : Verhandlungen der Tagung der Vereinigung der Deutschen Staatsrechtslehrer Zu Münster I. W. Am 29. und 30. März 1926</t>
  </si>
  <si>
    <t>Bild - Raum - Handlung : Perspektiven der Archäologie</t>
  </si>
  <si>
    <t>Spaces of Communication in Imperial Rome</t>
  </si>
  <si>
    <t>Imagining Human Rights</t>
  </si>
  <si>
    <t>Physik und Poetik : Produktionsästhetik und Werkgenese. Autorinnen und Autoren Im Dialog</t>
  </si>
  <si>
    <t>Totale Erziehung Für Den Totalen Krieg : Hitlerjugend und Nationalsozialistische Jugendpolitik</t>
  </si>
  <si>
    <t>Inventar der Befehle der Sowjetischen Militäradministration Mecklenburg(-Vorpommern) 1945-1949</t>
  </si>
  <si>
    <t>Die Leistungsfähigkeit der Wissenschaft des Öffentlichen Rechts : Berichte und Diskussionen Auf der Tagung der Vereinigung der Deutschen Staatsrechtslehrer in Freiburg I. Br. Vom 3. Bis 6. Oktober 2007</t>
  </si>
  <si>
    <t>What Does Order Mean and What Orders Meaning? on the Structures That Constitute Meaning in Writing : Zu bedeutungskonstituierenden Ordnungsleistungen in Geschriebenem</t>
  </si>
  <si>
    <t>Integration Processes and Policies in Europe : Contexts, Levels and Actors</t>
  </si>
  <si>
    <t>Springer International Publishing AG</t>
  </si>
  <si>
    <t>Springer</t>
  </si>
  <si>
    <t>Akten Zur Auswärtigen Politik der Bundesrepublik Deutschland 1964</t>
  </si>
  <si>
    <t>Patient Engagement : A Consumer-Centered Model to Innovate Healthcare</t>
  </si>
  <si>
    <t>Architectural Journal 1960-1975</t>
  </si>
  <si>
    <t>The Archaeology of Death in Post-Medieval Europe</t>
  </si>
  <si>
    <t>Society, Law, and Culture in the Middle East : Modernities in the Making</t>
  </si>
  <si>
    <t>Open Source Archaeology : Ethics and Practice</t>
  </si>
  <si>
    <t>50 Jahre Aktiengesetz</t>
  </si>
  <si>
    <t>Wikipedia und Geschichtswissenschaft</t>
  </si>
  <si>
    <t>Ageing in Europe - Supporting Policies for an Inclusive Society</t>
  </si>
  <si>
    <t>The Post-Human Society : Elemental Contours of the Aesthetic Economy of the United States</t>
  </si>
  <si>
    <t>Teaching Political Science to Undergraduates : Active Pedagogy for the Microchip Mind</t>
  </si>
  <si>
    <t>Simplifying Complexity : Rhetoric and the Social Politics of Dealing with Ignorance</t>
  </si>
  <si>
    <t>Microwave and Radio-Frequency Technologies in Agriculture : An Introduction for Agriculturalists and Engineers</t>
  </si>
  <si>
    <t>A Peep at the Blacks' : A History of Tourism at Coranderrk Aboriginal Station, 1863-1924</t>
  </si>
  <si>
    <t>Mobility and Biography</t>
  </si>
  <si>
    <t>The Masorah of Elijah Ha-Naqdan : An Edition of Ashkenazic Micrographical Notes</t>
  </si>
  <si>
    <t>Ein Sklavenball. Pompeji</t>
  </si>
  <si>
    <t>Biological Invasions in Changing Ecosystems : Vectors, Ecological Impacts, Management and Predictions</t>
  </si>
  <si>
    <t>The Well-Being of Children : Philosophical and Social Scientific Approaches</t>
  </si>
  <si>
    <t>Sustainability Indicators in Practice</t>
  </si>
  <si>
    <t>A COPD Primer</t>
  </si>
  <si>
    <t>Inside War : Understanding the Evolution of Organised Violence in the Global Era</t>
  </si>
  <si>
    <t>Fractional Dynamics</t>
  </si>
  <si>
    <t>The Poetry of du Fu</t>
  </si>
  <si>
    <t>Logik : Wiener Logikkolleg 1894/95</t>
  </si>
  <si>
    <t>Quarks and Letters : Naturwissenschaften in der Literatur und Kultur der Gegenwart</t>
  </si>
  <si>
    <t>Das Mönchtum in der Religionspolitik Kaiser Justinians I. : Die Engel des Himmels und der Stellvertreter Gottes Auf Erden</t>
  </si>
  <si>
    <t>Foundations for Moral Relativism : Second Expanded Edition</t>
  </si>
  <si>
    <t>Tyneside Neighbourhoods : Deprivation, Social Life and Social Behaviour in One British City</t>
  </si>
  <si>
    <t>Forests and Food : Addressing Hunger and Nutrition Across Sustainable Landscapes</t>
  </si>
  <si>
    <t>Tolerance : The Beacon of the Enlightenment</t>
  </si>
  <si>
    <t>The Struggling State : Nationalism, Mass Militarization, and the Education of Eritrea</t>
  </si>
  <si>
    <t>Biomedical Chemistry : Current Trends and Developments</t>
  </si>
  <si>
    <t>Beyond Price : Essays on Birth and Death</t>
  </si>
  <si>
    <t>Vertical Readings in Dante's Comedy : Volume 1</t>
  </si>
  <si>
    <t>A Musicology of Performance : Theory and Method Based on Bach's Solos for Violin</t>
  </si>
  <si>
    <t>Mr. Emerson's Revolution</t>
  </si>
  <si>
    <t>Tellings and Texts : Music, Literature and Performance in North India</t>
  </si>
  <si>
    <t>Cornelius Nepos, Life of Hannibal : Latin Text, Notes, Maps, Illustrations and Vocabulary</t>
  </si>
  <si>
    <t>The Muslim Question in Europe : Political Controversies and Public Philosophies</t>
  </si>
  <si>
    <t>Advanced Problems in Mathematics : Preparing for University</t>
  </si>
  <si>
    <t>Metaethics from a First Person Standpoint : An Introduction to Moral Philosophy</t>
  </si>
  <si>
    <t>The Life of August Wilhelm Schlegel, Cosmopolitan of Art and Poetry</t>
  </si>
  <si>
    <t>Everywhere Taksim : Sowing the Seeds for a New Turkey at Gezi</t>
  </si>
  <si>
    <t>Soul of the Documentary : Framing, Expression, Ethics</t>
  </si>
  <si>
    <t>Breaking down the State : Protestors Engaged</t>
  </si>
  <si>
    <t>Medium, Messenger, Transmission : An Approach to Media Philosophy</t>
  </si>
  <si>
    <t>Mobilizing Labour for the Global Coffee Market : Profits from an Unfree Work Regime in Colonial Java</t>
  </si>
  <si>
    <t>Ripples of Hope : How Ordinary People Resist Repression Without Violence</t>
  </si>
  <si>
    <t>Seeking Peace in the Wake of War : Europe, 1943-1947</t>
  </si>
  <si>
    <t>Spain, China, and Japan in Manila, 1571-1644 : Local Comparisons and Global Connections</t>
  </si>
  <si>
    <t>New Frontiers of Slavery</t>
  </si>
  <si>
    <t>Cooperation and Conflict the Nordic Way : Work, Welfare, and Institutional Change in Scandinavia</t>
  </si>
  <si>
    <t>Translating Chinese Tradition and Teaching Tangut Culture : Manuscripts and Printed Books from Khara-Khoto</t>
  </si>
  <si>
    <t>Moral Economies of Corruption : State Formation and Political Culture in Nigeria</t>
  </si>
  <si>
    <t>A Century of Violence in a Red City : Popular Struggle, Counterinsurgency, and Human Rights in Colombia</t>
  </si>
  <si>
    <t>Making Refuge : Somali Bantu Refugees and Lewiston, Maine</t>
  </si>
  <si>
    <t>Gesture and Power : Religion, Nationalism, and Everyday Performance in Congo</t>
  </si>
  <si>
    <t>Negro Soy Yo : Hip Hop and Raced Citizenship in Neoliberal Cuba</t>
  </si>
  <si>
    <t>Slavery in the Circuit of Sugar, Second Edition : Martinique and the World-Economy, 1830-1848</t>
  </si>
  <si>
    <t>Das Siebenstromland Zwischen Bronze- und Früheisenzeit : Eine Regionalstudie</t>
  </si>
  <si>
    <t>The Collapse of Time : The Martyrdom of Diego Ortiz (1571) by Antonio de la Calancha [1638]</t>
  </si>
  <si>
    <t>Insight into Theoretical and Applied Informatics : Introduction to Information Technologies and Computer Science</t>
  </si>
  <si>
    <t>Formulation in Action : Applying Psychological Theory to Clinical Practice</t>
  </si>
  <si>
    <t>Frieden Schaffen und Sich Verteidigen Im Spätmittelalter : Faire la Paix et Se défendre à la Fin du Moyen Âge</t>
  </si>
  <si>
    <t>Spätmittelalterliche Heroldskompendien : Referenzen Adeliger Wissenskultur in Zeiten Gesellschaftlichen Wandels (Frankreich und Burgund, 15. Jahrhundert)</t>
  </si>
  <si>
    <t>American Politics and the Environment, Second Edition</t>
  </si>
  <si>
    <t>Art Beyond Borders : Artistic Exchange in Communist Europe (1945-1989)</t>
  </si>
  <si>
    <t>A Contemporary History of Exclusion : The Roma Issue in Hungary from 1945 To 2015</t>
  </si>
  <si>
    <t>Remembrance, History, and Justice : Coming to Terms with Traumatic Pasts in Democratic Societies</t>
  </si>
  <si>
    <t>Das Berliner TransitionsProgramm : Sektorübergreifendes Strukturprogramm Zur Transition in Die Erwachsenenmedizin</t>
  </si>
  <si>
    <t>Variation Im Europäischen Kontrast : Untersuchungen Zum Satzanfang Im Deutschen, Französischen, Norwegischen, Polnischen und Ungarischen</t>
  </si>
  <si>
    <t>Cold War Anthropology : The CIA, the Pentagon, and the Growth of Dual Use Anthropology</t>
  </si>
  <si>
    <t>Sexual States : Governance and the Struggle over the Antisodomy Law in India</t>
  </si>
  <si>
    <t>Metroimperial Intimacies : Fantasy, Racial-Sexual Governance, and the Philippines in U. S. Imperialism, 1899-1913</t>
  </si>
  <si>
    <t>Judaism As Philosophy : Studies in Maimonides and the Medieval Jewish Philosophers of Provence</t>
  </si>
  <si>
    <t>The Translator's Doubts : Vladimir Nabokov and the Ambiguity of Translation</t>
  </si>
  <si>
    <t>First Words : On Dostoevsky's Introductions</t>
  </si>
  <si>
    <t>We Shall Not Be Moved/No Nos Moveran : Biography of a Song of Struggle</t>
  </si>
  <si>
    <t>Dalit Studies</t>
  </si>
  <si>
    <t>Die Jugend des Dionysos : Die Ampelos-Episode in Den Dionysiaka des Nonnos Von Panopolis</t>
  </si>
  <si>
    <t>Melchizedek Passages in the Bible : A Case Study for Inner-Biblical and Inter-Biblical Interpretation</t>
  </si>
  <si>
    <t>Religion As a Philosophical Matter : Concerns about Truth, Name, and Habitation</t>
  </si>
  <si>
    <t>The Eurasian Triangle : Russia, the Caucasus and Japan, 1904-1945</t>
  </si>
  <si>
    <t>Teaching Mathematics at Secondary Level</t>
  </si>
  <si>
    <t>Knowledge and the Norm of Assertion : An Essay in Philosophical Science</t>
  </si>
  <si>
    <t>The Universal Declaration of Human Rights in the 21st Century : A Living Document in a Changing World</t>
  </si>
  <si>
    <t>Diaspora and Trust : Cuba, Mexico, and the Rise of China</t>
  </si>
  <si>
    <t>Disciplinary Conquest : U. S. Scholars in South America, 1900-1945</t>
  </si>
  <si>
    <t>Variance in Arabic Manuscripts : Arabic Didactic Poems from the Eleventh to the Seventeenth Centuries - Analysis of Textual Variance and Its Control in the Manuscripts</t>
  </si>
  <si>
    <t>Innover Avec les Acteurs du Monde Rural : La Recherche-Action en Partenariat</t>
  </si>
  <si>
    <t>Le Cotonnier</t>
  </si>
  <si>
    <t>Développement Durable et Filières Tropicales</t>
  </si>
  <si>
    <t>Émergence de Maladies Infectieuses : Risques et Enjeux de Société</t>
  </si>
  <si>
    <t>Les Services écosystémiques : Repenser les Relations Nature et Société</t>
  </si>
  <si>
    <t>Faune Sauvage, Biodiversité et Santé, Quels Défis ?</t>
  </si>
  <si>
    <t>Green Voices : Defending Nature and the Environment in American Civic Discourse</t>
  </si>
  <si>
    <t>Galeni in Hippocratis Epidemiarum Librum II Commentariorum I-III Versio Arabica</t>
  </si>
  <si>
    <t>Galeni in Hippocratis Epidemiarum Librum II Commentariorum IV-VI Versio Arabica et Indices</t>
  </si>
  <si>
    <t>Dostoevsky Beyond Dostoevsky : Science, Religion, Philosophy</t>
  </si>
  <si>
    <t>Learning to Read Talmud : What It Looks Like and How It Happens</t>
  </si>
  <si>
    <t>Under the Shadow of the Rising Sun : Japan and the Jews During the Holocaust Era (Lectures from the Broadcast University of Israel Army Radio)</t>
  </si>
  <si>
    <t>La Conservation des Grains Après Récolte</t>
  </si>
  <si>
    <t>Ovid, Amores (Book 1)</t>
  </si>
  <si>
    <t>Verdi in Victorian London</t>
  </si>
  <si>
    <t>Intellectual Property and Public Health in the Developing World</t>
  </si>
  <si>
    <t>The Environment in the Age of the Internet : Activists, Communication, and the Digital Landscape</t>
  </si>
  <si>
    <t>Denis Diderot 'Rameau's Nephew' - 'le Neveu de Rameau' : A Multi-Media Bilingual Edition</t>
  </si>
  <si>
    <t>Metatexte : Erzählungen Von Schrifttragenden Artefakten in der Alttestamentlichen und Mittelalterlichen Literatur</t>
  </si>
  <si>
    <t>Genocide : New Perspectives on Its Causes, Courses and Consequences</t>
  </si>
  <si>
    <t>Human Rights Standards : Hegemony, Law, and Politics</t>
  </si>
  <si>
    <t>Tracing Manuscripts in Time and Space Through Paratexts : Perspectives from Paratexts</t>
  </si>
  <si>
    <t>Women in the Ancient near East</t>
  </si>
  <si>
    <t>Germanistik in Wien : Das Seminar Für Deutsche Philologie und Seine Privatdozentinnen (1897-1933)</t>
  </si>
  <si>
    <t>American Sociology and Holocaust Studies : The Alleged Silence and the Creation of the Sociological Delay</t>
  </si>
  <si>
    <t>Nouvelles Raisons d'agir des Acteurs de la Pêche et de L'agriculture</t>
  </si>
  <si>
    <t>Postmodern Crises : From Lolita to Pussy Riot</t>
  </si>
  <si>
    <t>Facets of Facebook : Use and Users</t>
  </si>
  <si>
    <t>Genre und Gemeinsinn : Hollywood Zwischen Krieg und Demokratie</t>
  </si>
  <si>
    <t>Theatre and War : Notes from the Field</t>
  </si>
  <si>
    <t>Digital Scholarly Editing : Theories and Practices</t>
  </si>
  <si>
    <t>Ovid, Metamorphoses, 3. 511-733 : Latin Text with Introduction, Commentary, Glossary of Terms, Vocabulary Aid and Study Questions</t>
  </si>
  <si>
    <t>Piety in Pieces : How Medieval Readers Customized Their Manuscripts</t>
  </si>
  <si>
    <t>Population, Providence and Empire : The Churches and Emigration from Nineteenth-Century Ireland</t>
  </si>
  <si>
    <t>Human Remains and Mass Violence : Methodological Approaches</t>
  </si>
  <si>
    <t>Man or Monster? : The Trial of a Khmer Rouge Torturer</t>
  </si>
  <si>
    <t>Lenin and the Making of the Soviet State : A Brief History with Documents</t>
  </si>
  <si>
    <t>Palgrave Macmillan US</t>
  </si>
  <si>
    <t>The Poetry of Hanshan (Cold Mountain), Shide, and Fenggan</t>
  </si>
  <si>
    <t>Materiality of Writing in Early Mesopotamia</t>
  </si>
  <si>
    <t>Filtration Materials for Groundwater : A Guide to Good Practice</t>
  </si>
  <si>
    <t>Thinking Literature Across Continents</t>
  </si>
  <si>
    <t>We Dream Together : Dominican Independence, Haiti, and the Fight for Caribbean Freedom</t>
  </si>
  <si>
    <t>Rational Design of Next-Generation Nanomaterials and Nanodevices for Water Applications</t>
  </si>
  <si>
    <t>Les Maladies émergentes : Zika, Ébola, Chikungunya... Comprendre Ces Infections et les Prévenir Au Quotidien</t>
  </si>
  <si>
    <t>Austerity and the Labor Movement</t>
  </si>
  <si>
    <t>An Aqueous Territory : Sailor Geographies and New Granada's Transimperial Greater Caribbean World</t>
  </si>
  <si>
    <t>New Countries : Capitalism, Revolutions, and Nations in the Americas, 1750-1870</t>
  </si>
  <si>
    <t>A Gender-Based Approach to Parliamentary Discourse : The Andalusian Parliament</t>
  </si>
  <si>
    <t>Variation und Wandel : Zur Konkurrenz Morphologischer und Syntaktischer a+N-Verbindungen Im Deutschen und Niederländischen Seit 1700</t>
  </si>
  <si>
    <t>Monastische Kultur Als Transkonfessionelles Phänomen : Beiträge Einer Deutsch-Russischen Interdisziplinären Tagung in Vladimir und Suzdal'</t>
  </si>
  <si>
    <t>Pore Scale Geochemical Processes</t>
  </si>
  <si>
    <t>Religion and the Making of Nigeria</t>
  </si>
  <si>
    <t>Now Peru Is Mine : The Life and Times of a Campesino Activist</t>
  </si>
  <si>
    <t>Understanding Material Text Cultures : A Multidisciplinary View</t>
  </si>
  <si>
    <t>Wissenschaftliches Publizieren : Zwischen Digitalisierung, Leistungsmessung, Ökonomisierung und Medialer Beobachtung</t>
  </si>
  <si>
    <t>Of Gods and Books : Ritual and Knowledge Transmission in the Manuscript Cultures of Premodern India</t>
  </si>
  <si>
    <t>Dynamics of Religion : Past and Present. Proceedings of the XXI World Congress of the International Association for the History of Religions</t>
  </si>
  <si>
    <t>One-Volume Libraries: Composite and Multiple-Text Manuscripts</t>
  </si>
  <si>
    <t>Yearbook of the Maimonides Centre for Advanced Studies. 2016 : 2016</t>
  </si>
  <si>
    <t>Musicians in Transit : Argentina and the Globalization of Popular Music</t>
  </si>
  <si>
    <t>The Encyclopedia of British Film : Fourth Edition</t>
  </si>
  <si>
    <t>Diffusion and Transfer of Knowledge in Agriculture</t>
  </si>
  <si>
    <t>Essays in Honour of Eamonn Cantwell : Yeats Annual No. 20</t>
  </si>
  <si>
    <t>The Infrastructure Finance Challenge</t>
  </si>
  <si>
    <t>Vertical Readings in Dante's Comedy : Volume 2</t>
  </si>
  <si>
    <t>Literature Against Criticism : University English and Contemporary Fiction in Conflict</t>
  </si>
  <si>
    <t>Open Education : International Perspectives in Higher Education</t>
  </si>
  <si>
    <t>Woodstock Scholarship : An Interdisciplinary Annotated Bibliography</t>
  </si>
  <si>
    <t>Citizenship in Question : Evidentiary Birthright and Statelessness</t>
  </si>
  <si>
    <t>Reichszentralbehörden, Regionale Behörden und Wissenschaftliche Hochschulen Für Die Zehn Westdeutschen länder Sowie Berlin</t>
  </si>
  <si>
    <t>Inventar der Befehle des Obersten Chefs der Sowjetischen Militäradministration in Deutschland (SMAD) 1945-1949 : - Offene Serie -</t>
  </si>
  <si>
    <t>Bibliography</t>
  </si>
  <si>
    <t>Material Culture in Modern Diplomacy from the 15th to the 20th Century</t>
  </si>
  <si>
    <t>Audiovisuelle Rhythmen : Filmmusik, Bewegungskomposition und Die Dynamische Affizierung des Zuschauers</t>
  </si>
  <si>
    <t>Affektpoetiken des New Hollywood : Suspense, Paranoia und Melancholie</t>
  </si>
  <si>
    <t>Somalis in the Twin Cities and Columbus : Immigrant Incorporation in New Destinations</t>
  </si>
  <si>
    <t>Transformations Agricoles et Agroalimentaires : Entre écologie et Capitalisme</t>
  </si>
  <si>
    <t>Architecture et Croissance des Plantes : Modélisation et Applications</t>
  </si>
  <si>
    <t>Minnereden : Auswahledition</t>
  </si>
  <si>
    <t>Auslegung und Hermeneutik der Bibel in der Reformationszeit</t>
  </si>
  <si>
    <t>The Psychology of Social Networking Vol. 1 : Personal Experience in Online Communities</t>
  </si>
  <si>
    <t>Dying in Full Detail : Mortality and Digital Documentary</t>
  </si>
  <si>
    <t>Downwardly Global : Women, Work, and Citizenship in the Pakistani Diaspora</t>
  </si>
  <si>
    <t>Language in the Digital Era. Challenges and Perspectives</t>
  </si>
  <si>
    <t>Events, States and Times : An Essay on Narrative Discourse in English</t>
  </si>
  <si>
    <t>Just War and Human Rights : Fighting with Right Intention</t>
  </si>
  <si>
    <t>Hydraulic City : Water and the Infrastructures of Citizenship in Mumbai</t>
  </si>
  <si>
    <t>Energy Without Conscience : Oil, Climate Change, and Complicity</t>
  </si>
  <si>
    <t>Sovereignty in Ruins : A Politics of Crisis</t>
  </si>
  <si>
    <t>The Black Death and Later Plague Epidemics in the Scandinavian Countries: : Perspectives and Controversies</t>
  </si>
  <si>
    <t>Structural Analysis and Renovation Design of Ageing Sewers : Design Theories and Case Studies</t>
  </si>
  <si>
    <t>Rhetoric and Drama</t>
  </si>
  <si>
    <t>Behaviour, Development and Evolution</t>
  </si>
  <si>
    <t>Wallenstein : A Dramatic Poem</t>
  </si>
  <si>
    <t>What Works in Conservation : 2017</t>
  </si>
  <si>
    <t>Security in a Small Nation : Scotland, Democracy, Politics</t>
  </si>
  <si>
    <t>Deliberation, Representation, Equity : Research Approaches, Tools and Algorithms for Participatory Processes</t>
  </si>
  <si>
    <t>Construire des Politiques Alimentaires Urbaines : Concepts et Démarches</t>
  </si>
  <si>
    <t>Les Virus : Ennemis Ou Alliés ?</t>
  </si>
  <si>
    <t>Japanese Reflections on World War II and the American Occupation</t>
  </si>
  <si>
    <t>How Development Projects Persist : Everyday Negotiations with Guatemalan NGOs</t>
  </si>
  <si>
    <t>La Traction Animale</t>
  </si>
  <si>
    <t>Une Petite Histoire de l'alimentation Française</t>
  </si>
  <si>
    <t>Twentieth-Century Russian Poetry : Reinventing the Canon</t>
  </si>
  <si>
    <t>The Idea of Europe : Enlightenment Perspectives</t>
  </si>
  <si>
    <t>Just Managing? : What It Means for the Families of Austerity Britain</t>
  </si>
  <si>
    <t>Zombies in Western Culture : A Twenty-First Century Crisis</t>
  </si>
  <si>
    <t>L' idée de L'Europe : Au Siècle des Lumières</t>
  </si>
  <si>
    <t>Searching for Sharing : Heritage and Multimedia in Africa</t>
  </si>
  <si>
    <t>Living Territories to Transform the World</t>
  </si>
  <si>
    <t>The Hirschfeld Archives : Violence, Death, and Modern Queer Culture</t>
  </si>
  <si>
    <t>Creole Studies - Phylogenetic Approaches</t>
  </si>
  <si>
    <t>Imdeduya : Variants of a Myth of Love and Hate from the Trobriand Islands of Papua New Guinea</t>
  </si>
  <si>
    <t>Language and Slavery : A Social and Linguistic History of the Suriname Creoles</t>
  </si>
  <si>
    <t>The Datafied Society : Studying Culture Through Data</t>
  </si>
  <si>
    <t>Willensfreiheit</t>
  </si>
  <si>
    <t>Love and Its Critics : From the Song of Songs to Shakespeare and Milton's Eden</t>
  </si>
  <si>
    <t>World of Walls : The Structure, Roles and Effectiveness of Separation Barriers</t>
  </si>
  <si>
    <t>Ethics for A-Level</t>
  </si>
  <si>
    <t>Die Europaidee Im Zeitalter der Aufklärung</t>
  </si>
  <si>
    <t>Warlike and Peaceful Societies : The Interaction of Genes and Culture</t>
  </si>
  <si>
    <t>Dickens's Working Notes for 'Dombey and Son'</t>
  </si>
  <si>
    <t>Understanding Immigration : Issues and Challenges in an Era of Mass Population Movement</t>
  </si>
  <si>
    <t>Von Kant Zu Schelling : Die Beiden Wege des Deutschen Idealismus</t>
  </si>
  <si>
    <t>The Dawn of Dutch : Language Contact in the Western Low Countries Before 1200</t>
  </si>
  <si>
    <t>Adjective Adverb Interfaces in Romance</t>
  </si>
  <si>
    <t>Unthinking Mastery : Dehumanism and Decolonial Entanglements</t>
  </si>
  <si>
    <t>Language Dispersal Beyond Farming</t>
  </si>
  <si>
    <t>Tratamiento Biológico de Aguas Residuales: Principios, Modelación y Diseño : Principios, Modelación y Diseño</t>
  </si>
  <si>
    <t>Affective Images : Post-Apartheid Documentary Perspectives</t>
  </si>
  <si>
    <t>Toward a Pragmatist Sociology : John Dewey and the Legacy of C. Wright Mills</t>
  </si>
  <si>
    <t>Wellbeing, Freedom and Social Justice : The Capability Approach Re-Examined</t>
  </si>
  <si>
    <t>Basic Knowledge and Conditions on Knowledge</t>
  </si>
  <si>
    <t>Modernism and the Spiritual in Russian Art : New Perspectives</t>
  </si>
  <si>
    <t>Vertical Readings in Dante's Comedy : Volume 3</t>
  </si>
  <si>
    <t>Information and Empire : Mechanisms of Communication in Russia, 1600-1854</t>
  </si>
  <si>
    <t>Science As Social Existence : Heidegger and the Sociology of Scientific Knowledge</t>
  </si>
  <si>
    <t>Long Narrative Songs from the Mongghul of Northeast Tibet : Texts in Mongghul, Chinese, and English</t>
  </si>
  <si>
    <t>Anglo-Saxon Literary Landscapes : Ecotheory and the Environmental Imagination</t>
  </si>
  <si>
    <t>Women in the Silent Cinema : Histories of Fame and Fate</t>
  </si>
  <si>
    <t>Kurt Baschwitz : A Pioneer of Communication Studies and Social Psychology</t>
  </si>
  <si>
    <t>Medieval Saints and Modern Screens : Divine Visions As Cinematic Experience</t>
  </si>
  <si>
    <t>Making Light : Haydn, Musical Camp, and the Long Shadow of German Idealism</t>
  </si>
  <si>
    <t>God's Babies : Natalism and Bible Interpretation in Modern America</t>
  </si>
  <si>
    <t>Cultural Heritage Ethics : Between Theory and Practice</t>
  </si>
  <si>
    <t>Resemblance and Representation : An Essay in the Philosophy of Pictures</t>
  </si>
  <si>
    <t>Democracy and Power : The Delhi Lectures</t>
  </si>
  <si>
    <t>Stories from Quechan Oral Literature</t>
  </si>
  <si>
    <t>L' histoire de l'Inra, Entre Science et Politique</t>
  </si>
  <si>
    <t>Mémento de L'assainissement : Mettre en Oeuvre un Service d'assainissement Complet, Durable et Adapté</t>
  </si>
  <si>
    <t>Rancière's Sentiments</t>
  </si>
  <si>
    <t>Chinese Surplus : Biopolitical Aesthetics and the Medically Commodified Body</t>
  </si>
  <si>
    <t>Cooking Data : Culture and Politics in an African Research World</t>
  </si>
  <si>
    <t>A Nation on the Line : Call Centers As Postcolonial Predicaments in the Philippines</t>
  </si>
  <si>
    <t>Optimizing Massive MIMO : Precoder Design and Power Allocation</t>
  </si>
  <si>
    <t>Linkopings Universitet</t>
  </si>
  <si>
    <t>Trust and Mistrust in the Economies of the China-Russia Borderlands</t>
  </si>
  <si>
    <t>The Jewish Unions in America : Pages of History and Memories</t>
  </si>
  <si>
    <t>An Anglo-Norman Reader</t>
  </si>
  <si>
    <t>Text Genetics in Literary Modernism and Other Essays</t>
  </si>
  <si>
    <t>Human and Machine Consciousness</t>
  </si>
  <si>
    <t>Yeats's Legacies : Yeats Annual No. 21</t>
  </si>
  <si>
    <t>Remote Capture : Digitising Documentary Heritage in Challenging Locations</t>
  </si>
  <si>
    <t>Mobilities, Boundaries, and Travelling Ideas : Rethinking Translocality Beyond Central Asia and the Caucasus</t>
  </si>
  <si>
    <t>Tales of Darkness and Light : Soso Tham's the Old Days of the Khasis</t>
  </si>
  <si>
    <t>Growing up on the Trobriand Islands in Papua New Guinea : Childhood and Educational Ideologies in Tauwema</t>
  </si>
  <si>
    <t>Making the Medieval Relevant : How Medieval Studies Contribute to Improving Our Understanding of the Present</t>
  </si>
  <si>
    <t>The Poetry and Prose of Wang Wei : Volume I</t>
  </si>
  <si>
    <t>Poetics and Politics : Net Structures and Agencies in Early Modern Drama</t>
  </si>
  <si>
    <t>Esse 2017 : Proceedings of the International Conference on Environmental Science and Sustainable Energy Ed. by ZhaoYang Dong</t>
  </si>
  <si>
    <t>Ontological Terror : Blackness, Nihilism, and Emancipation</t>
  </si>
  <si>
    <t>Socrates, or on Human Knowledge : Bilingual Edition</t>
  </si>
  <si>
    <t>Theatre Cultures Within Globalising Empires : Looking at Early Modern England and Spain</t>
  </si>
  <si>
    <t>Dividing Texts : Conventions of Visual Text-Organisation in Nepalese and North Indian Manuscripts</t>
  </si>
  <si>
    <t>Scepticism and Anti-Scepticism in Medieval Jewish Philosophy and Thought</t>
  </si>
  <si>
    <t>Wirklichkeit Oder Konstruktion? : Sprachtheoretische und Interdisziplinäre Aspekte Einer Brisanten Alternative</t>
  </si>
  <si>
    <t>The Works of Li Qingzhao : China's Foremost Woman Poet</t>
  </si>
  <si>
    <t>The Discursive Construction of Identities on- and Offline : Personal - Group - Collective</t>
  </si>
  <si>
    <t>Fire and Snow : Climate Fiction from the Inklings to Game of Thrones</t>
  </si>
  <si>
    <t>Persuasion in Public Discourse : Cognitive and Functional Perspectives</t>
  </si>
  <si>
    <t>The Poetry of Ruan Ji and Xi Kang</t>
  </si>
  <si>
    <t>SignGram Blueprint : A Guide to Sign Language Grammar Writing</t>
  </si>
  <si>
    <t>Commercial Communication in the Digital Age : Information or Disinformation?</t>
  </si>
  <si>
    <t>Beyond Priesthood : Religious Entrepreneurs and Innovators in the Roman Empire</t>
  </si>
  <si>
    <t>Superconductors at the Nanoscale : From Basic Research to Applications</t>
  </si>
  <si>
    <t>Organized Secularism in the United States : New Directions in Research</t>
  </si>
  <si>
    <t>Sprache in Wissenschaft und Dichtung : Diskursive Formationen Von Mathematik, Physik, Logik und Dichtung Im 17. und 18. Jahrhundert</t>
  </si>
  <si>
    <t>Die Werkstatt des Dichters : Imaginationsräume Literarischer Produktion</t>
  </si>
  <si>
    <t>The Psychology of Social Networking Vol. 2 : Identity and Relationships in Online Communities</t>
  </si>
  <si>
    <t>The Linguistic Integration of Adult Migrants / l'intégration Linguistique des Migrants Adultes : Some Lessons from Research / les Enseignements de la Recherche</t>
  </si>
  <si>
    <t>Maria in Hymnus und Sequenz : Interdisziplinäre Mediävistische Perspektiven</t>
  </si>
  <si>
    <t>Biodiversity in Agricultural Landscapes of Southeastern Brazil</t>
  </si>
  <si>
    <t>Current Trends in Historical Sociolinguistics</t>
  </si>
  <si>
    <t>Doing Applied Linguistics : Enabling Transdisciplinary Communication</t>
  </si>
  <si>
    <t>Planning to Cope with Tropical and Subtropical Climate Change</t>
  </si>
  <si>
    <t>Augmented Reality : Reflections on Its Contribution to Knowledge Formation</t>
  </si>
  <si>
    <t>Western-Pontic Culture Ambience and Pattern : In Memory of Eugen Comsa</t>
  </si>
  <si>
    <t>Farewell to Shulamit : Spatial and Social Diversity in the Song of Songs</t>
  </si>
  <si>
    <t>Commentary on the Gospels : English Translation and Introduction</t>
  </si>
  <si>
    <t>Embodying the Vedas : Traditional Vedic Schools of Contemporary Maharashtra</t>
  </si>
  <si>
    <t>A Prehistory of Hinduism</t>
  </si>
  <si>
    <t>Play Development in Children with Disabilties</t>
  </si>
  <si>
    <t>Yearbook of the Maimonides Centre for Advanced Studies. 2017 : Yearbook of the Maimonides Centre for Advanced Studies</t>
  </si>
  <si>
    <t>Zwischen Literatur und Naturwissenschaft : Debatten - Probleme - Visionen 1680-1820</t>
  </si>
  <si>
    <t>Filmische Poetiken der Schuld : Die Audiovisuelle Anklage der Sinne Als Modalität des Gemeinschaftsempfindens</t>
  </si>
  <si>
    <t>Writing Matters : Presenting and Perceiving Monumental Inscriptions in Antiquity and the Middle Ages</t>
  </si>
  <si>
    <t>Deep Stories : Practicing, Teaching, and Learning Anthropology with Digital Storytelling</t>
  </si>
  <si>
    <t>Derrida on Being As Presence : Questions and Quests</t>
  </si>
  <si>
    <t>Manuscripts and Archives : Comparative Views on Record-Keeping</t>
  </si>
  <si>
    <t>The Arts and Crafts of Literacy : Islamic Manuscript Cultures in Sub-Saharan Africa</t>
  </si>
  <si>
    <t>Institutional Change in the Public Sphere : Views on the Nordic Model</t>
  </si>
  <si>
    <t>Jewish Manuscript Cultures : New Perspectives</t>
  </si>
  <si>
    <t>Linear Algebra : A Course for Physicists and Engineers</t>
  </si>
  <si>
    <t>Digital Papyrology I : Methods, Tools and Trends</t>
  </si>
  <si>
    <t>IFLA's First Fifty Years : Achievement and Challenge in International Librarianship</t>
  </si>
  <si>
    <t>Le Diplomate Au Travail : Entscheidungsprozesse, Information und Kommunikation Im Umkreis des Westfälischen Friedenskongresses</t>
  </si>
  <si>
    <t>Ninth European Powder Diffraction Conference : Prague, September 2-5 2004</t>
  </si>
  <si>
    <t>Fifth Size Strain Conference. Diffraction Analysis of the Microstructure of Materials : Garmisch-Partenkirchen, October 7-9 2007</t>
  </si>
  <si>
    <t>Tenth European Powder Diffraction Conference : Geneva, September 1-4 2006</t>
  </si>
  <si>
    <t>Eleventh European Powder Diffraction Conference : Warsaw, September 19-22 2008</t>
  </si>
  <si>
    <t>The British and Irish Ruling Class 1660-1945 Vol. 2</t>
  </si>
  <si>
    <t>Muslims and Christians in the Bulgarian Rhodopes : Studies on Religious (Anti)Syncretism</t>
  </si>
  <si>
    <t>Users' Needs Report on Play for Children with Disabilities : Parents' and Children's Views</t>
  </si>
  <si>
    <t>Advanced Composite Materials: Properties and Applications</t>
  </si>
  <si>
    <t>Europe in Green : European Environmental Democracy</t>
  </si>
  <si>
    <t>Novel Molecular Approaches to Target Microbial Virulence</t>
  </si>
  <si>
    <t>The Roots of Respect : A Historic-Philosophical Itinerary</t>
  </si>
  <si>
    <t>Weißbuch Konservative Orthopädie und Unfallchirurgie</t>
  </si>
  <si>
    <t>The Concept of Constitution in the History of Political Thought</t>
  </si>
  <si>
    <t>Human Computer Confluence : Transforming Human Experience Through Symbiotic Technologies</t>
  </si>
  <si>
    <t>Kinetic Landscapes : The Cide Archaeological Project: Surveying the Turkish Western Black Sea Region</t>
  </si>
  <si>
    <t>Barriers to Play and Recreation for Children and Young People with Disabilities : Exploring Environmental Factors</t>
  </si>
  <si>
    <t>Measure Theory in Non-Smooth Spaces</t>
  </si>
  <si>
    <t>Dynamics of Architecture in Late Baroque Rome : Cardinal Pietro Ottoboni at the Cancelleria</t>
  </si>
  <si>
    <t>Non-Extensive Entropy Econometrics for Low Frequency Series : National Accounts-Based Inverse Problems</t>
  </si>
  <si>
    <t>Shape Optimization and Spectral Theory</t>
  </si>
  <si>
    <t>Theater Im Gespräch : Sprachliche Publikumspraktiken in der Theaterpause</t>
  </si>
  <si>
    <t>Moderate Fundamentalists : Ahmadiyya Muslim Jama'at in the Lens of Cognitive Science of Religion</t>
  </si>
  <si>
    <t>Governance of a Distant Province in the Middle Ages : Case Study on Upper Lusatia</t>
  </si>
  <si>
    <t>The British and Irish Ruling Class 1660-1945 Vol. 1</t>
  </si>
  <si>
    <t>Un(intended) Language Planning in a Globalising World: Multiple Levels of Players at Work</t>
  </si>
  <si>
    <t>Health Promotion at School : Pedagogical Aspects and Practical Implications</t>
  </si>
  <si>
    <t>Proceedings from the ICERP 2016 : International Conference on Environmental Research and Public Health</t>
  </si>
  <si>
    <t>Recent Developments in Nonlocal Theory</t>
  </si>
  <si>
    <t>Quo Vadis, Medicus? : Health Behaviour among Health Professionals and Students</t>
  </si>
  <si>
    <t>Undocumented Migrants and Healthcare : Eight Stories from Switzerland</t>
  </si>
  <si>
    <t>Exploring the Interior : Essays on Literary and Cultural History</t>
  </si>
  <si>
    <t>The Juggler of Notre Dame and the Medievalizing of Modernity : Volume 1: the Middle Ages</t>
  </si>
  <si>
    <t>What Works in Conservation : 2018</t>
  </si>
  <si>
    <t>The Juggler of Notre Dame and the Medievalizing of Modernity : Volume 2: Medieval Meets Medievalism</t>
  </si>
  <si>
    <t>Don Carlos Infante of Spain : A Dramatic Poem</t>
  </si>
  <si>
    <t>Europa Im Geisterkrieg. Studien Zu Nietzsche</t>
  </si>
  <si>
    <t>Technicolored : Reflections on Race in the Time of TV</t>
  </si>
  <si>
    <t>L' eutrophisation : Manifestations, Causes, Conséquences et Prédictibilité</t>
  </si>
  <si>
    <t>American Classics : Evolutionary Perspectives</t>
  </si>
  <si>
    <t>Migrants and City-Making : Dispossession, Displacement, and Urban Regeneration</t>
  </si>
  <si>
    <t>Borders and Mobility in South Asia and Beyond</t>
  </si>
  <si>
    <t>Ästhetik des Gemachten : Interdisziplinäre Beiträge Zur Animations- und Comicforschung</t>
  </si>
  <si>
    <t>Innovation et développement Dans les Systèmes Agricoles et Alimentaires</t>
  </si>
  <si>
    <t>Material Aspects of Letter Writing in the Graeco-Roman World : C. 500 BC - C. AD 300</t>
  </si>
  <si>
    <t>Studies on Greek and Coptic Majuscule Scripts and Books</t>
  </si>
  <si>
    <t>Papierherstellung Im Deutschen Südwesten : Ein Neues Gewerbe Im Späten Mittelalter</t>
  </si>
  <si>
    <t>Image - Action - Space : Situating the Screen in Visual Practice</t>
  </si>
  <si>
    <t>Sportfunktionäre und Jüdische Differenz : Zwischen Anerkennung und Antisemitismus - Wien 1918 Bis 1938</t>
  </si>
  <si>
    <t>Regionalismen</t>
  </si>
  <si>
    <t>Konstruktion Von Sprache und Sprachwissen : Eine Empirische Studie Zur Schriftsprachaneignung Sprachstarker und Sprachschwacher Kinder</t>
  </si>
  <si>
    <t>Rewriting Maimonides : Early Commentaries on the Guide of the Perplexed</t>
  </si>
  <si>
    <t>The Cultural Net : Early Modern Drama As a Paradigm</t>
  </si>
  <si>
    <t>Crossroads of Colonial Cultures : Caribbean Literatures in the Age of Revolution</t>
  </si>
  <si>
    <t>Probability and Statistics : A Course for Physicists and Engineers</t>
  </si>
  <si>
    <t>The Nivison Annals : Selected Works of David S. Nivison on Early Chinese Chronology, Astronomy, and Historiography</t>
  </si>
  <si>
    <t>Archive Für Literatur : Der Nachlass und Seine Ordnungen</t>
  </si>
  <si>
    <t>Wirtschaft und Wirtschaftspolitik in Deutschland : 75 Jahre RWI - Leibniz-Institut Für Wirtschaftsforschung E. V. 1943-2018</t>
  </si>
  <si>
    <t>Digital Papyrology II : Case Studies on the Digital Edition of Ancient Greek Papyri</t>
  </si>
  <si>
    <t>Contesting Religion : The Media Dynamics of Cultural Conflicts in Scandinavia</t>
  </si>
  <si>
    <t>Die Sprache der Mainzer Republik (1792/93) : Historisch-Semantische Untersuchungen Zur Politischen Kommunikation</t>
  </si>
  <si>
    <t>Wir Sind Nicht Auf der Welt, Um Zu Schweigen : Eine Einleitung in Die Rhetorik</t>
  </si>
  <si>
    <t>List Cultures : Knowledge and Poetics from Mesopotamia to BuzzFeed</t>
  </si>
  <si>
    <t>Gendered Temporalities in the Early Modern World</t>
  </si>
  <si>
    <t>On Self-Translation : Meditations on Language</t>
  </si>
  <si>
    <t>English Aristocratic Women and the Fabric of Piety, 1450-1550 : The Fabric of Piety</t>
  </si>
  <si>
    <t>Current Trends inComputer Science andMechanical Automation Vol. 2 : Selected Papers from CSMA2016</t>
  </si>
  <si>
    <t>Greek Medical Papyri : Text, Context, Hypertext</t>
  </si>
  <si>
    <t>Current Trends inComputer Science andMechanical Automation Vol. 1 : Selected Papers from CSMA2016</t>
  </si>
  <si>
    <t>Coming of Age in Byzantium : Adolescence and Society</t>
  </si>
  <si>
    <t>Garbage Citizenship : Vital Infrastructures of Labor in Dakar, Senegal</t>
  </si>
  <si>
    <t>Storytelling : The Destruction of the Inalienable in the Age of the Holocaust</t>
  </si>
  <si>
    <t>Christian Metz and the Codes of Cinema : Film Semiology and Beyond</t>
  </si>
  <si>
    <t>Advancing the Learning Agenda in Jewish Education</t>
  </si>
  <si>
    <t>Aspectuality : An Onomasiological Model Applied to the Romance Languages</t>
  </si>
  <si>
    <t>Tempi der Bewegung - Modi des Gefühls : Expressivität, Heitere Affekte und Die Screwball Comedy</t>
  </si>
  <si>
    <t>Lived Religion in the Ancient Mediterranean World : Approaching Religious Transformations from Archaeology, History and Classics</t>
  </si>
  <si>
    <t>Assyrian and Babylonian Scholarly Text Catalogues : Medicine, Magic and Divination</t>
  </si>
  <si>
    <t>Fabellae : Frammenti Di Favole Latine e Bilingui Latino-Greche Di Tradizione Diretta (III-IV D. C. )</t>
  </si>
  <si>
    <t>Mesopotamian Eye Disease Texts : The Nineveh Treatise</t>
  </si>
  <si>
    <t>Blumen : Historisch-Kritische Ausgabe</t>
  </si>
  <si>
    <t>Re-Mapping World Literature : Writing, Book Markets and Epistemologies Between Latin America and the Global South / Escrituras, Mercados y Epistemologías Entre América Latina y el Sur Global</t>
  </si>
  <si>
    <t>Der Deutsche Staat Im Jahre 1945 und Seither. Die Berufsbeamten und Die Staatskrisen</t>
  </si>
  <si>
    <t>Digital Sound Studies</t>
  </si>
  <si>
    <t>ANZUS and the Early Cold War : Strategy and Diplomacy Between Australia, New Zealand and the United States, 1945-1956</t>
  </si>
  <si>
    <t>With and Without Galton : Vasilii Florinskii and the Fate of Eugenics in Russia</t>
  </si>
  <si>
    <t>The Juggler of Notre Dame and the Medievalizing of Modernity : Volume 3: the American Middle Ages</t>
  </si>
  <si>
    <t>The Red Countess : Select Autobiographical and Fictional Writing of Hermynia Zur Mühlen (1883-1951)</t>
  </si>
  <si>
    <t>Cicero, Philippic 2, 44-50, 78-92, 100-119 : Latin Text, Study Aids with Vocabulary, and Commentary</t>
  </si>
  <si>
    <t>Race and Rurality in the Global Economy</t>
  </si>
  <si>
    <t>The Oracle Bone Inscriptions from Huayuanzhuang East : Translated with an Introduction and Commentary</t>
  </si>
  <si>
    <t>Housing Capital : Resource and Representation</t>
  </si>
  <si>
    <t>Making Religion and Human Rights at the United Nations</t>
  </si>
  <si>
    <t>Graffiti Als Interaktionsform : Geritzte Inschriften in Den Wohnhäusern Pompejis</t>
  </si>
  <si>
    <t>Das Steininschriftenprojekt des Wolkenheimklosters Während der Liao-Dynastie (907-1125) : Eine Analyse Seiner Kolophone</t>
  </si>
  <si>
    <t>After Ethnos</t>
  </si>
  <si>
    <t>Die Revokation des Edikts Von Nantes und Die Protestanten in Südostfrankreich (Provence und Dauphiné) 1685-1730</t>
  </si>
  <si>
    <t>La Conscience des Animaux</t>
  </si>
  <si>
    <t>Land Use and Food Security in 2050: a Narrow Road : Agrimonde-Terra</t>
  </si>
  <si>
    <t>Bodies As Evidence : Security, Knowledge, and Power</t>
  </si>
  <si>
    <t>Reconciliation in Global Context : Why It Is Needed and How It Works</t>
  </si>
  <si>
    <t>From Grain to Pixel : The Archival Life of Film in Transition, Third Revised Edition</t>
  </si>
  <si>
    <t>Happiness Is the Wrong Metric : A Liberal Communitarian Response to Populism</t>
  </si>
  <si>
    <t>Respawn : Gamers, Hackers, and Technogenic Life</t>
  </si>
  <si>
    <t>Invited Lectures from the 13th International Congress on Mathematical Education</t>
  </si>
  <si>
    <t>The Juggler of Notre Dame and the Medievalizing of Modernity : Volume 5: Tumbling into the Twentieth Century</t>
  </si>
  <si>
    <t>Hanging on to the Edges : Essays on Science, Society and the Academic Life</t>
  </si>
  <si>
    <t>The Life and Letters of William Sharp and Fiona Macleod : Volume I: 1855-1894</t>
  </si>
  <si>
    <t>The Juggler of Notre Dame and the Medievalizing of Modernity : Volume 4: Picture That: Making a Show of the Jongleur</t>
  </si>
  <si>
    <t>The Race of Sound : Listening, Timbre, and Vocality in African American Music</t>
  </si>
  <si>
    <t>The Universe, Life and Everything : Dialogues on Our Changing Understanding of Reality</t>
  </si>
  <si>
    <t>The Portuguese Language Continuum in Africa and Brazil</t>
  </si>
  <si>
    <t>Food Anxiety in Globalising Vietnam</t>
  </si>
  <si>
    <t>Springer Singapore Pte. Limited</t>
  </si>
  <si>
    <t>The Dutch and English East India Companies : Diplomacy, Trade and Violence in Early Modern Asia</t>
  </si>
  <si>
    <t>Services écosystémiques Fournis Par les Espaces Agricoles : Évaluer et Caractériser</t>
  </si>
  <si>
    <t>La Transition Agro-écologique des Agricultures du Sud</t>
  </si>
  <si>
    <t>An Intimate Rebuke : Female Genital Power in Ritual and Politics in West Africa</t>
  </si>
  <si>
    <t>A Fleet Street in Every Town : The Provincial Press in England, 1855-1900</t>
  </si>
  <si>
    <t>Virgil, Aeneid 11, Pallas and Camilla, 1-224, 498-521, 532-596, 648-689, 725-835 : Latin Text, Study Aids with Vocabulary, and Commentary</t>
  </si>
  <si>
    <t>The Juggler of Notre Dame and the Medievalizing of Modernity : Volume 6: War and Peace, Sex and Violence</t>
  </si>
  <si>
    <t>Digital Techniques for Documenting and Preserving Cultural Heritage</t>
  </si>
  <si>
    <t>Arc Humanities Press</t>
  </si>
  <si>
    <t>Urban Europe : Fifty Tales of the City</t>
  </si>
  <si>
    <t>Chivalry, Reading, and Women's Culture in Early Modern Spain : From Amadís de Gaula to Don Quixote</t>
  </si>
  <si>
    <t>Imams in Western Europe : Developments, Transformations, and Institutional Challenges</t>
  </si>
  <si>
    <t>Hyperion, or the Hermit in Greece</t>
  </si>
  <si>
    <t>Delivering on the Promise of Democracy : Visual Case Studies in Educational Equity and Transformation</t>
  </si>
  <si>
    <t>Life Histories of Etnos Theory in Russia and Beyond</t>
  </si>
  <si>
    <t>The Playful Citizen : Civic Engagement in a Mediatized Culture</t>
  </si>
  <si>
    <t>Trente Années d'observation des Micro-Algues et des Toxines d'algues Sur le Littoral</t>
  </si>
  <si>
    <t>Systèmes Agraires et Changement Climatique Au Sud : Les Chemins de L'adaptation</t>
  </si>
  <si>
    <t>Une Agronomie Pour le XXIe Siècle</t>
  </si>
  <si>
    <t>The News at the Ends of the Earth : The Print Culture of Polar Exploration</t>
  </si>
  <si>
    <t>The Believer and the Modern Study of the Bible</t>
  </si>
  <si>
    <t>Mastering Russian Spaces : Raum und Raumbewältigung Als Probleme der Russischen Geschichte</t>
  </si>
  <si>
    <t>From Darkness to Light : Writers in Museums 1798-1898</t>
  </si>
  <si>
    <t>Women and Migration : Responses in Art and History</t>
  </si>
  <si>
    <t>Whose Book Is It Anyway? : A View from Elsewhere on Publishing, Copyright and Creativity</t>
  </si>
  <si>
    <t>Remapping Travel Narratives, 1000-1700 : To the East and Back Again</t>
  </si>
  <si>
    <t>Anti-Japan : The Politics of Sentiment in Postcolonial East Asia</t>
  </si>
  <si>
    <t>Recherche Agronomique et Politique Agricole : Jacques Poly, un Stratège</t>
  </si>
  <si>
    <t>Movable Inn : The Rural Jewish Population of Minsk Guberniya In 1793-1914</t>
  </si>
  <si>
    <t>Tennyson's Poems : New Textual Parallels</t>
  </si>
  <si>
    <t>Annunciations : Sacred Music for the Twenty-First Century</t>
  </si>
  <si>
    <t>Energopolitics : Wind and Power in the Anthropocene</t>
  </si>
  <si>
    <t>Allegories of the Anthropocene</t>
  </si>
  <si>
    <t>Krieg und Kunst Im Antiken Griechenland und Rom : Heldentum, Identität, Herrschaft, Ideologie</t>
  </si>
  <si>
    <t>A Future History of Water</t>
  </si>
  <si>
    <t>Ecologics : Wind and Power in the Anthropocene</t>
  </si>
  <si>
    <t>The Fixer : Visa Lottery Chronicles</t>
  </si>
  <si>
    <t>Love and Intrigue : A Bourgeois Tragedy</t>
  </si>
  <si>
    <t>Automated Machine Learning : Methods, Systems, Challenges</t>
  </si>
  <si>
    <t>Peut-On Se Passer du Cuivre en Protection des Cultures Biologiques ? : Expertise Scientifique Collective</t>
  </si>
  <si>
    <t>The Agroecological Transition of Agricultural Systems in the Global South</t>
  </si>
  <si>
    <t>The Pogroms in Ukraine, 1918-19 : Prelude to the Holocaust</t>
  </si>
  <si>
    <t>Social Media in Higher Education : Case Studies, Reflections and Analysis</t>
  </si>
  <si>
    <t>The Essence of Mathematics Through Elementary Problems</t>
  </si>
  <si>
    <t>The Revolution Will Not Be Theorized : Cultural Revolution in the Black Power Era</t>
  </si>
  <si>
    <t>Image, Knife, and Gluepot : Early Assemblage in Manuscript and Print</t>
  </si>
  <si>
    <t>Make We Merry More and Less : An Anthology of Medieval English Popular Literature</t>
  </si>
  <si>
    <t>Pandemic Disease in the Medieval World : Rethinking the Black Death</t>
  </si>
  <si>
    <t>History of International Relations : A Non-European Perspective</t>
  </si>
  <si>
    <t>The Birth of Energy : Fossil Fuels, Thermodynamics, and the Politics of Work</t>
  </si>
  <si>
    <t>Beside You in Time : Sense Methods and Queer Sociabilities in the American Nineteenth Century</t>
  </si>
  <si>
    <t>Latter-Day Screens : Gender, Sexuality, and Mediated Mormonism</t>
  </si>
  <si>
    <t>Fundamentals for the Anthropocene</t>
  </si>
  <si>
    <t>Painting the Sky Black : Louis Kahn and the Architectonization of Nature</t>
  </si>
  <si>
    <t>Contemporary Debates in Bioethics: European Perspectives</t>
  </si>
  <si>
    <t>Transport, Fluids, and Mixing</t>
  </si>
  <si>
    <t>The Politics of Language Contact in the Himalaya</t>
  </si>
  <si>
    <t>Adaptation in the Age of Media Convergence</t>
  </si>
  <si>
    <t>Conservation Biology in Sub-Saharan Africa</t>
  </si>
  <si>
    <t>The Big Thaw : Policy, Governance, and Climate Change in the Circumpolar North</t>
  </si>
  <si>
    <t>Beyond Jewish Identity : Rethinking Concepts and Imagining Alternatives</t>
  </si>
  <si>
    <t>Essays on Paula Rego : Smile When You Think about Hell</t>
  </si>
  <si>
    <t>Theoretical and Practical Advances in Computer-Based Educational Measurement</t>
  </si>
  <si>
    <t>Regional and Local Development in Times of Polarisation : Re-Thinking Spatial Policies in Europe</t>
  </si>
  <si>
    <t>Inventing Cinema : Machines, Gestures and Media History</t>
  </si>
  <si>
    <t>Engaging Researchers with Data Management : The Cookbook</t>
  </si>
  <si>
    <t>Labor and Value : Rethinking Marx's Theory of Exploitation</t>
  </si>
  <si>
    <t>Visions of Electric Media : Television in the Victorian and Machine Ages</t>
  </si>
  <si>
    <t>Taking the EU to Court : Annulment Proceedings and Multilevel Judicial Conflict</t>
  </si>
  <si>
    <t>A Fragile Inheritance : Radical Stakes in Contemporary Indian Art</t>
  </si>
  <si>
    <t>Screening Race in American Nontheatrical Film</t>
  </si>
  <si>
    <t>Autistic Community and the Neurodiversity Movement : Stories from the Frontline</t>
  </si>
  <si>
    <t>Ethnography #9</t>
  </si>
  <si>
    <t>Theft Is Property! : Dispossession and Critical Theory</t>
  </si>
  <si>
    <t>The Licit Life of Capitalism : US Oil in Equatorial Guinea</t>
  </si>
  <si>
    <t>Everything Man : The Form and Function of Paul Robeson</t>
  </si>
  <si>
    <t>Sacred Men : Law, Torture, and Retribution in Guam</t>
  </si>
  <si>
    <t>Zootechnologies : A Media History of Swarm Research</t>
  </si>
  <si>
    <t>Prose Fiction : An Introduction to the Semiotics of Narrative</t>
  </si>
  <si>
    <t>Non-Communicable Disease Prevention : Best Buys, Wasted Buys and Contestable Buys</t>
  </si>
  <si>
    <t>Affective Justice : The International Criminal Court and the Pan-Africanist Pushback</t>
  </si>
  <si>
    <t>The Creative Underclass : Youth, Race, and the Gentrifying City</t>
  </si>
  <si>
    <t>Affective Trajectories : Religion and Emotion in African Cityscapes</t>
  </si>
  <si>
    <t>The Waning Sword : Conversion Imagery and Celestial Myth In 'Beowulf'</t>
  </si>
  <si>
    <t>The DARPA Model for Transformative Technologies : Perspectives on the U. S. Defense Advanced Research Projects Agency</t>
  </si>
  <si>
    <t>Visualizing Fascism : The Twentieth-Century Rise of the Global Right</t>
  </si>
  <si>
    <t>Technocrats of the Imagination : Art, Technology, and the Military-Industrial Avant-Garde</t>
  </si>
  <si>
    <t>Boundary Value Problems, Weyl Functions, and Differential Operators</t>
  </si>
  <si>
    <t>Programming for Computations - Python : A Gentle Introduction to Numerical Simulations with Python 3. 6</t>
  </si>
  <si>
    <t>Sensor and Signature Modeling for Aircraft Conceptual Development</t>
  </si>
  <si>
    <t>Linköping University Electronic Press</t>
  </si>
  <si>
    <t>Time of Flight Estimation for Radio Network Positioning</t>
  </si>
  <si>
    <t>Health-related quality of life after cardiac arrest</t>
  </si>
  <si>
    <t>Overcoming Limitations of Iontronic Delivery Devices</t>
  </si>
  <si>
    <t>Pharmacogenetic studies of thiopurine methyltransferase genotype-phenotype concordance and effect of methotrexate on thiopurine metabolism</t>
  </si>
  <si>
    <t>"Chorus of the Saved" : Constructing the Holocaust Survivor in Swedish Public Discourse, 1943-1966</t>
  </si>
  <si>
    <t>Computational Photography : High Dynamic Range and Light Fields</t>
  </si>
  <si>
    <t>Kähler-Poisson Algebras</t>
  </si>
  <si>
    <t>The Tiberian Pronunciation Tradition of Biblical Hebrew, Volume 1</t>
  </si>
  <si>
    <t>The Tiberian Pronunciation Tradition of Biblical Hebrew, Volume 2</t>
  </si>
  <si>
    <t>Mobile Mapping : Space, Cartography and the Digital</t>
  </si>
  <si>
    <t>Digital Technology and the Practices of Humanities Research</t>
  </si>
  <si>
    <t>Organic electronic materials for hydrogen peroxide production</t>
  </si>
  <si>
    <t>Revolution and Disenchantment : Arab Marxism and the Binds of Emancipation</t>
  </si>
  <si>
    <t>The influence of clients on the social identities within the audit profession</t>
  </si>
  <si>
    <t>Synthesis and characterization of two- and three-dimensional nanolaminated carbides</t>
  </si>
  <si>
    <t>Improving Design for Remanufacturing Though Feedback from Remanufacturing to Design</t>
  </si>
  <si>
    <t>Paris in the Dark : Going to the Movies in the City of Light, 1930-1950</t>
  </si>
  <si>
    <t>Charlotte Smith and the Sonnet : Form, Place and Tradition in the Late Eighteenth Century</t>
  </si>
  <si>
    <t>Liverpool University Press</t>
  </si>
  <si>
    <t>Fellow Travellers : Communist Trade Unionism and Industrial Relations on the French Railways, 1914-1939</t>
  </si>
  <si>
    <t>Ethnopornography : Sexuality, Colonialism, and Archival Knowledge</t>
  </si>
  <si>
    <t>“Doing things together” : Towards a health promoting approach to couples’ relationships and everyday life in dementia</t>
  </si>
  <si>
    <t>Managing Quality in Cross-cultural Settings</t>
  </si>
  <si>
    <t>Doctoral education in the entrepreneurial university : enhanced employability?</t>
  </si>
  <si>
    <t>Electronic transitions and correlation effects : From pure elements to complex materials</t>
  </si>
  <si>
    <t>Customer Benefits in City Logistics : Towards Viable Urban Consolidation Centres</t>
  </si>
  <si>
    <t>Synthesis and Characterization of Some Nanostructured Materials for Visible Light-driven Photo Processes</t>
  </si>
  <si>
    <t>Laser Speckle Contrast Imaging in Reconstructive Surgery</t>
  </si>
  <si>
    <t>Upper extremity impairments in type 1 diabetes in comparison to matched controls without diabetes : associations to the IGF-system, metabolic factors, disability and quality of life</t>
  </si>
  <si>
    <t>Applications of Partial Polymorphisms in (Fine-Grained) Complexity of Constraint Satisfaction Problems</t>
  </si>
  <si>
    <t>Gallucci's Commentary on dürer's 'Four Books on Human Proportion' : Renaissance Proportion Theory</t>
  </si>
  <si>
    <t>Models in Microeconomic Theory ('He' Edition)</t>
  </si>
  <si>
    <t>Models in Microeconomic Theory ('She' Edition)</t>
  </si>
  <si>
    <t>Agency : Moral Identity and Free Will</t>
  </si>
  <si>
    <t>Important Factors for Accurate Scale-Resolving Simulations of Automotive Aerodynamics</t>
  </si>
  <si>
    <t>To See or Not to See : A Study on Capillary Refill</t>
  </si>
  <si>
    <t>Tid för att Planera : Att stödja vardagsplanering hos ungdomar med intellektuell funktionsnedsättning</t>
  </si>
  <si>
    <t>Human-automation teamwork : Current practices and future directions in air traffic control</t>
  </si>
  <si>
    <t>Physical Fitness in Hospitalized Frail Elderly Patients</t>
  </si>
  <si>
    <t>Learning to Make Safe Real-Time Decisions Under Uncertainty for Autonomous Robots</t>
  </si>
  <si>
    <t>Antinuclear and antiphospholipid antibodies versus disease manifestations and clinical outcomes in systemic lupus erythematosus</t>
  </si>
  <si>
    <t>The Life and Letters of William Sharp and Fiona Macleod : Volume 2: 1895-1899</t>
  </si>
  <si>
    <t>Age of Information Aware Communication Systems : Modeling and Performance Analysis</t>
  </si>
  <si>
    <t>Advancement of sensor technology for monitoring and control of upstream bioprocesses</t>
  </si>
  <si>
    <t>An Open Secret : The History of Unwanted Pregnancy and Abortion in Modern Bolivia</t>
  </si>
  <si>
    <t>Five essays on visuality in accounting</t>
  </si>
  <si>
    <t>Motion planning and feedback control techniques with applications to long tractor-trailer vehicles</t>
  </si>
  <si>
    <t>Genomics and Transcriptomics of Behaviour and Plumage Colouration</t>
  </si>
  <si>
    <t>Governing the manifold subject : a praxiography of Swedish HIV treatment</t>
  </si>
  <si>
    <t>Theoretical description of Ti and Ti alloys from first principles</t>
  </si>
  <si>
    <t>Improved Energy Efficiency in the Aluminium Industry and its Supply Chains</t>
  </si>
  <si>
    <t>Earth 2020 : An Insider's Guide to a Rapidly Changing Planet</t>
  </si>
  <si>
    <t>Margery Spring Rice : Pioneer of Women's Health in the Early Twentieth Century</t>
  </si>
  <si>
    <t>Systems studies of Biogas production : Comparisons and performance</t>
  </si>
  <si>
    <t>Controllability of Complex Networks at Minimum Cost</t>
  </si>
  <si>
    <t>Responses to Children’s Crying : Emotion Socialization in a Swedish Preschool</t>
  </si>
  <si>
    <t>Self-management support to handle everyday life with Parkinson´s disease</t>
  </si>
  <si>
    <t>Colorectal Liver Metastases – Different Aspects on Treatment with Associated Liver Partition and Portal Vein Ligation for Staged Hepatectomy and on Portal Vein Occlusion</t>
  </si>
  <si>
    <t>Quantitative Muscle Composition Analysis Using Magnetic Resonance Imaging</t>
  </si>
  <si>
    <t>Designing for Resilience : Navigating Change in Service Systems</t>
  </si>
  <si>
    <t>Contributions to linear discriminant analysis with applications to growth curves</t>
  </si>
  <si>
    <t>The world, Sweden and the child : International influence on Swedish child policy during the emergence of the welfare state in the interwar period</t>
  </si>
  <si>
    <t>A First-Principles Study of Highly Anharmonic and Dynamically Disordered Solids</t>
  </si>
  <si>
    <t>A Typology of Business Model Changes : Cases from Swedish Wood Manufacturing Industry</t>
  </si>
  <si>
    <t>Health, Experienced Support and School Performance among Children in Out-of-home care</t>
  </si>
  <si>
    <t>Adaptive behaviour in traffic : An individual road user perspective</t>
  </si>
  <si>
    <t>High Confidence Network Predictions from Big Biological Data</t>
  </si>
  <si>
    <t>Disordering the Establishment : Participatory Art and Institutional Critique in France, 1958-1981</t>
  </si>
  <si>
    <t>Designing visualization and interaction for industrial control rooms of the future</t>
  </si>
  <si>
    <t>Electrochemical water splitting based on metal oxide composite nanostructures</t>
  </si>
  <si>
    <t>Molecular mechanisms of modulation of K&lt;sub&gt;V&lt;/sub&gt;7 channels by polyunsaturated fatty acids and their analogues</t>
  </si>
  <si>
    <t>Creative Multilingualism : A Manifesto</t>
  </si>
  <si>
    <t>Living Earth Community : Multiple Ways of Being and Knowing</t>
  </si>
  <si>
    <t>Studies in Rabbinic Hebrew</t>
  </si>
  <si>
    <t>Antisemitism in the North : History and State of Research</t>
  </si>
  <si>
    <t>Carbon-Based Smart Materials</t>
  </si>
  <si>
    <t>Literatura Latinoamericana Mundial : Dispositivos y Disidencias</t>
  </si>
  <si>
    <t>Richard Schaukal in Netzwerken und Feldern der Literarischen Moderne</t>
  </si>
  <si>
    <t>Mineral Building Traditions in the Himalayas : The Mineralogical Impact on the Use of Clay As Building Material</t>
  </si>
  <si>
    <t>ReiseSchreiben : Potsdamer Vorlesungen Zur Reiseliteratur</t>
  </si>
  <si>
    <t>Visualizing the Invisible with the Human Body : Physiognomy and Ekphrasis in the Ancient World</t>
  </si>
  <si>
    <t>Religious Individualisation : Historical Dimensions and Comparative Perspectives</t>
  </si>
  <si>
    <t>Prosodie und Konstruktionsgrammatik</t>
  </si>
  <si>
    <t>Comprehending and Confronting Antisemitism : A Multi-Faceted Approach</t>
  </si>
  <si>
    <t>Die Feinen Unterschiede : Kultur, Kunst und Konsum Im Antiken Rom</t>
  </si>
  <si>
    <t>German and Dutch in Contrast : Synchronic, Diachronic and Psycholinguistic Perspectives</t>
  </si>
  <si>
    <t>Early Printed Narrative Literature in Western Europe</t>
  </si>
  <si>
    <t>The Second World War in the Twenty-First-Century Museum : From Narrative, Memory, and Experience to Experientiality</t>
  </si>
  <si>
    <t>Aging Between Participation and Simulation : Ethical Dimensions of Socially Assistive Technologies in Elderly Care</t>
  </si>
  <si>
    <t>Homo Absconditus : Helmuth Plessners Philosophische Anthropologie Im Vergleich</t>
  </si>
  <si>
    <t>Schreiben Auf Statuarischen Monumenten : Aspekte Materialer Textkultur in Archaischer und Frühklassischer Zeit</t>
  </si>
  <si>
    <t>From Memory to Marble : The Historical Frieze of the Voortrekker Monument Part I: the Frieze</t>
  </si>
  <si>
    <t>Cosmopolitan Responsibility : Global Injustice, Relational Equality, and Individual Agency</t>
  </si>
  <si>
    <t>Dialekte Machen : Konstruktion und Gebrauch Arealer Varianten Im Kontext Sprachraumbezogener Alltagsdiskurse</t>
  </si>
  <si>
    <t>Verwaltungsrecht in der Klausur</t>
  </si>
  <si>
    <t>Confucius and Cicero : Old Ideas for a New World, New Ideas for an Old World</t>
  </si>
  <si>
    <t>Material Aspects of Reading in Ancient and Medieval Cultures : Materiality, Presence and Performance</t>
  </si>
  <si>
    <t>The Emergence of Multiple-Text Manuscripts</t>
  </si>
  <si>
    <t>Formulaic Language and New Data : Theoretical and Methodological Implications</t>
  </si>
  <si>
    <t>Zur Geschichte Deutscher Wissenschaftssprachen : Aufsätze, Essays, Vorträge und Die Abhandlung ,,Erkenntnis und Sprache in Goethes Naturwissenschaft</t>
  </si>
  <si>
    <t>The Crisis of the 14th Century : Teleconnections Between Environmental and Societal Change?</t>
  </si>
  <si>
    <t>Barren Women : Religion and Medicine in the Medieval Middle East</t>
  </si>
  <si>
    <t>Le Lettere Di Dante : Ambienti Culturali, Contesti Storici e Circolazione Dei Saperi</t>
  </si>
  <si>
    <t>Migration und Avantgarde : Paris 1917-1962</t>
  </si>
  <si>
    <t>The Roll in England and France in the Late Middle Ages : Form and Content</t>
  </si>
  <si>
    <t>Logiken der Sammlung : Das Archiv Zwischen Strategie und Eigendynamik</t>
  </si>
  <si>
    <t>New Perspectives on the History of Literature : Swedish Educational programmes about Classical Antiquity, Romanticism and Strindberg 1960-2012</t>
  </si>
  <si>
    <t>Studies in Semitic Vocalisation and Reading Traditions</t>
  </si>
  <si>
    <t>Magnetooptical properties of dilute nitride nanowires</t>
  </si>
  <si>
    <t>A European Public Investment Outlook</t>
  </si>
  <si>
    <t>A Lexicon of Medieval Nordic Law</t>
  </si>
  <si>
    <t>The museum of contradictions : The co-production of museum ideals in the Swedish public debate on Moderna Museet in Stockholm, 1972–2013</t>
  </si>
  <si>
    <t>Global Health Economics: Shaping Health Policy In Low- And Middle-income Countries</t>
  </si>
  <si>
    <t>World Scientific Publishing Company</t>
  </si>
  <si>
    <t>Discourses We Live By : Narratives of Educational and Social Endeavour</t>
  </si>
  <si>
    <t>Proteasome Inhibitors against Cancer: Determining Biology and Finding Novel Compounds</t>
  </si>
  <si>
    <t>Jewish-Muslim Intellectual History Entangled : Textual Materials from the Firkovitch Collection, Saint Petersburg</t>
  </si>
  <si>
    <t>Simplified Signs : A Manual Sign-Communication System for Special Populations, Volume 1</t>
  </si>
  <si>
    <t>Simplified Signs : A Manual Sign-Communication System for Special Populations, Volume 2</t>
  </si>
  <si>
    <t>Sailing from Polis to Empire : Ships in the Eastern Mediterranean During the Hellenistic Period</t>
  </si>
  <si>
    <t>Ecosystem-Based Management, Ecosystem Services and Aquatic Biodiversity : Theory, Tools and Applications</t>
  </si>
  <si>
    <t>Bewertung Von Eigentumswohnungen : Entscheidungsorientierte Bewertung Aus Sicht Privater Investoren</t>
  </si>
  <si>
    <t>Springer Fachmedien Wiesbaden GmbH</t>
  </si>
  <si>
    <t>Paths : Why Is Life ﬁlled with So Many Detours?</t>
  </si>
  <si>
    <t>Human Challenge Studies in Endemic Settings : Ethical and Regulatory Issues</t>
  </si>
  <si>
    <t>Global Citizenship Education : Critical and International Perspectives</t>
  </si>
  <si>
    <t>The Limits of Art : On Borderline Cases of Artworks and Their Aesthetic Properties</t>
  </si>
  <si>
    <t>Water Resource Systems Planning and Management : An Introduction to Methods, Models, and Applications</t>
  </si>
  <si>
    <t>Finite Difference Computing with Exponential Decay Models</t>
  </si>
  <si>
    <t>Orthogeriatrics : The Management of Older Patients with Fragility Fractures</t>
  </si>
  <si>
    <t>Forschendes Lernen : Theorie, Empirie, Praxis</t>
  </si>
  <si>
    <t>Global Business Strategy : Multinational Corporations Venturing into Emerging Markets</t>
  </si>
  <si>
    <t>Springer Japan</t>
  </si>
  <si>
    <t>Medical Imaging Systems : An Introductory Guide</t>
  </si>
  <si>
    <t>The Coupling of Safety and Security : Exploring Interrelations in Theory and Practice</t>
  </si>
  <si>
    <t>Enabling industrial energy benchmarking : Process-level energy end-use, key performance indicators, and efficiency potential</t>
  </si>
  <si>
    <t>Closing nutrient cycles</t>
  </si>
  <si>
    <t>Skalbar Bayesiansk spatial analys med Gaussiska Markov-fält</t>
  </si>
  <si>
    <t>Internet use and digital participation in everyday life : Adolescents and young adults with intellectual disabilities</t>
  </si>
  <si>
    <t>Organic electronic devices for solar energy conversion and storage</t>
  </si>
  <si>
    <t>Mathematical modeling of neurovascular coupling</t>
  </si>
  <si>
    <t>Combatting Illicit Trade on the EU Border : A Comparative Perspective</t>
  </si>
  <si>
    <t>Measuring the Business Value of Cloud Computing</t>
  </si>
  <si>
    <t>Technical Universities : Past, Present and Future</t>
  </si>
  <si>
    <t>Service Design Capabilities</t>
  </si>
  <si>
    <t>Sustainable Land Management in a European Context : A Co-Design Approach</t>
  </si>
  <si>
    <t>Hochwasserminderung Im ländlichen Raum : Ein Handbuch Zur Quantitativen Planung</t>
  </si>
  <si>
    <t>Springer Berlin / Heidelberg</t>
  </si>
  <si>
    <t>Immune-to-Brain Signaling in Fever : The Brain Endothelium as Interface</t>
  </si>
  <si>
    <t>Contributions to Semantic Dependency Parsing : Search, Learning, and Application</t>
  </si>
  <si>
    <t>Switching Kinetics and Charge Transport in Organic Ferroelectrics</t>
  </si>
  <si>
    <t>Species’ responses to an ever-changing world</t>
  </si>
  <si>
    <t>Die Emotionale Erfahrung des Asyls : Lebenswelten Afghanischer Geflüchteter in Berlin</t>
  </si>
  <si>
    <t>Particle Physics Reference Library : Volume 1: Theory and Experiments</t>
  </si>
  <si>
    <t>Evidenzbasierter Fledermausschutz in Windkraftvorhaben</t>
  </si>
  <si>
    <t>Evaluating Information Retrieval and Access Tasks : NTCIR's Legacy of Research Impact</t>
  </si>
  <si>
    <t>Die Business Judgement Rule : Auslegung der Legalit�tspflicht Bei Unklarer Rechtslage</t>
  </si>
  <si>
    <t>Particle Physics Reference Library : Volume 2: Detectors for Particles and Radiation</t>
  </si>
  <si>
    <t>Pflege-Report 2020 : Neuausrichtung Von Versorgung und Finanzierung</t>
  </si>
  <si>
    <t>Cyber-Physical Systems: a Model-Based Approach</t>
  </si>
  <si>
    <t>Agiles Lernen Im Unternehmen</t>
  </si>
  <si>
    <t>Forest and Rangeland Soils of the United States under Changing Conditions : A Comprehensive Science Synthesis</t>
  </si>
  <si>
    <t>Media Primitivism : Technological Art in Africa</t>
  </si>
  <si>
    <t>Thinking Like a Climate : Governing a City in Times of Environmental Change</t>
  </si>
  <si>
    <t>Reliability and Validity of International Large-Scale Assessment : Understanding IEA's Comparative Studies of Student Achievement</t>
  </si>
  <si>
    <t>Words, Objects and Events in Economics : The Making of Economic Theory</t>
  </si>
  <si>
    <t>Haptics: Science, Technology, Applications : 12th International Conference, EuroHaptics 2020, Leiden, the Netherlands, September 6-9, 2020, Proceedings</t>
  </si>
  <si>
    <t>Driving in Virtual Reality : Requirements for automotive research and development</t>
  </si>
  <si>
    <t>Health Technology Assessment of Assistance Dogs and Dog-Assisted Interventions</t>
  </si>
  <si>
    <t>Reasons for Language : Language and Analogical Reasoning Ability in Children with Cochlear Implants and Children with Typical Hearing</t>
  </si>
  <si>
    <t>Renewable and Scalable Energy Storage Materials Derived from Quinones in Biomass</t>
  </si>
  <si>
    <t>The Economics of Water : Rules and Institutions</t>
  </si>
  <si>
    <t>Optical Studies of Bio-inspired Materials for Camouflage</t>
  </si>
  <si>
    <t>Neurogenic bladder and bowel dysfunction : Clinical aspects in children with spinal dysraphism</t>
  </si>
  <si>
    <t>Cell-Free Massive MIMO : Scalability, Signal Processing and Power Control</t>
  </si>
  <si>
    <t>Exploring Proactive Market Strategies : How Proactivity Shapes Value-Creation</t>
  </si>
  <si>
    <t>Craftspeople and Designer Makers in the Contemporary Creative Economy</t>
  </si>
  <si>
    <t>Co-Creating Digital Public Services for an Ageing Society : Evidence for User-Centric Design</t>
  </si>
  <si>
    <t>Waltzing Through Europe : Attitudes Towards Couple Dances in the Long Nineteenth Century</t>
  </si>
  <si>
    <t>Chronicles from Kashmir : An Annotated, Multimedia Script</t>
  </si>
  <si>
    <t>The Play in the System : The Art of Parasitical Resistance</t>
  </si>
  <si>
    <t>Carbon Pricing in Japan</t>
  </si>
  <si>
    <t>The Narrative Subject : Storytelling in the Age of the Internet</t>
  </si>
  <si>
    <t>The Demography of Disasters : Impacts for Population and Place</t>
  </si>
  <si>
    <t>Educational Aspirations and Attainments : How resources relate to outcomes for children of immigrants in disadvantaged Swedish schools</t>
  </si>
  <si>
    <t>Tailoring Conducting Polymer Interface for Sensing and Biosensing</t>
  </si>
  <si>
    <t>High-Quality Perovskite Films for Efficient and Stable Light-Emitting Diodes</t>
  </si>
  <si>
    <t>The Ethics of Bilateral Labor Agreements for Nurses : Perspectives from the Philippines</t>
  </si>
  <si>
    <t>Life Cycle Management</t>
  </si>
  <si>
    <t>Springer Netherlands</t>
  </si>
  <si>
    <t>From Melancholia to Depression : Disordered Mood in Nineteenth-Century Psychiatry</t>
  </si>
  <si>
    <t>Pluralistic Struggles in Gender, Sexuality and Coloniality : Challenging Swedish Exceptionalism</t>
  </si>
  <si>
    <t>An insight into the metabolism of New Psychoactive Substances : Structural elucidation of urinary metabolites of synthetic cannabinoids and fentanyl analogues using synthesized reference standards</t>
  </si>
  <si>
    <t>Virulent Zones : Animal Disease and Global Health at China's Pandemic Epicenter</t>
  </si>
  <si>
    <t>Developments in Demographic Forecasting</t>
  </si>
  <si>
    <t>A Philosophical Examination of Social Justice and Child Poverty</t>
  </si>
  <si>
    <t>Palgrave Macmillan UK</t>
  </si>
  <si>
    <t>When Can Oil Economies Be Deemed Sustainable?</t>
  </si>
  <si>
    <t>Methods for Capacity Allocation in Deregulated Railway Markets</t>
  </si>
  <si>
    <t>Middle ear cholesteatoma : Surgical outcome and aspects of the innate immunity</t>
  </si>
  <si>
    <t>Diagnosing pneumonia in primary care : Aspects of the value of clinical and laboratory findings and the use of chest X-ray</t>
  </si>
  <si>
    <t>Couches minces métalliques sur substrats à faible interaction : Dynamics nanométriques de croissance, contraintes résiduelles, et manipulation de morphologie</t>
  </si>
  <si>
    <t>Self-Control, Financial Well-Being, and Motivated Reasoning : Essays in Behavioral Finance</t>
  </si>
  <si>
    <t>Utveckling och utvärdering av en internetbaserad behandling för generaliserat ångestsyndrom : ett acceptansbaserat förhållningssätt</t>
  </si>
  <si>
    <t>Teaching Materials in Practice : The Use of Teaching Materials in Religious Education at Swedish Upper Secondary Schools</t>
  </si>
  <si>
    <t>Quantitative genetics of gene expression and methylation in the chicken</t>
  </si>
  <si>
    <t>Incontinence, physical activity, and pelvic floor muscle training in female pelvic cancer survivors after radiotherapy</t>
  </si>
  <si>
    <t>Technology, Design and the Arts - Opportunities and Challenges</t>
  </si>
  <si>
    <t>Rewilding European Landscapes</t>
  </si>
  <si>
    <t>New Horizons for a Data-Driven Economy : A Roadmap for Usage and Exploitation of Big Data in Europe</t>
  </si>
  <si>
    <t>The GEO Handbook on Biodiversity Observation Networks</t>
  </si>
  <si>
    <t>The Sustainability of Agro-Food and Natural Resource Systems in the Mediterranean Basin</t>
  </si>
  <si>
    <t>The Plight of Older Workers : Labor Market Experience after Plant Closure in the Swiss Manufacturing Sector</t>
  </si>
  <si>
    <t>Optics in Our Time</t>
  </si>
  <si>
    <t>Communicating, Networking: Interacting : The International Year of Global Understanding - IYGU</t>
  </si>
  <si>
    <t>Marine Anthropogenic Litter</t>
  </si>
  <si>
    <t>Remote Sensing of Plant Biodiversity</t>
  </si>
  <si>
    <t>Becoming a World-Class University : The Case of King Abdulaziz University</t>
  </si>
  <si>
    <t>South-North Migration of EU Citizens in Times of Crisis</t>
  </si>
  <si>
    <t>Has Latin American Inequality Changed Direction? : Looking over the Long Run</t>
  </si>
  <si>
    <t>Innovations in Quantitative Risk Management : TU München, September 2013</t>
  </si>
  <si>
    <t>Higher Education Reforms in Romania : Between the Bologna Process and National Challenges</t>
  </si>
  <si>
    <t>Biotechnologies for Plant Mutation Breeding : Protocols</t>
  </si>
  <si>
    <t>Melting Hadrons, Boiling Quarks - from Hagedorn Temperature to Ultra-Relativistic Heavy-Ion Collisions at CERN : With a Tribute to Rolf Hagedorn</t>
  </si>
  <si>
    <t>Evidence-Based Positron Emission Tomography : Summary of Recent Meta-Analyses on PET</t>
  </si>
  <si>
    <t>Teacher Quality, Instructional Quality and Student Outcomes : Relationships Across Countries, Cohorts and Time</t>
  </si>
  <si>
    <t>Intertwingled : The Work and Influence of Ted Nelson</t>
  </si>
  <si>
    <t>Contemporary Bioethics : Islamic Perspective</t>
  </si>
  <si>
    <t>China: Surpassing the Middle Income Trap</t>
  </si>
  <si>
    <t>Psychometric Framework for Modeling Parental Involvement and Reading Literacy</t>
  </si>
  <si>
    <t>Research Assessment in the Humanities : Towards Criteria and Procedures</t>
  </si>
  <si>
    <t>River Basin Development and Human Rights in Eastern Africa -- a Policy Crossroads</t>
  </si>
  <si>
    <t>Safer Healthcare : Strategies for the Real World</t>
  </si>
  <si>
    <t>The Geopolitics of the Global Energy Transition</t>
  </si>
  <si>
    <t>Opening Science : The Evolving Guide on How the Internet Is Changing Research, Collaboration and Scholarly Publishing</t>
  </si>
  <si>
    <t>Computation and the Humanities : Towards an Oral History of Digital Humanities</t>
  </si>
  <si>
    <t>European Guide to Power System Testing : The ERIGrid Holistic Approach for Evaluating Complex Smart Grid Configurations</t>
  </si>
  <si>
    <t>The Interconnected Arctic -- UArctic Congress 2016</t>
  </si>
  <si>
    <t>Infrastructure and Economic Growth in Asia</t>
  </si>
  <si>
    <t>Ecological Risk Assessment for Chlorpyrifos in Terrestrial and Aquatic Systems in the United States</t>
  </si>
  <si>
    <t>High Mountain Conservation in a Changing World</t>
  </si>
  <si>
    <t>The South Texas Health Status Review : A Health Disparities Roadmap</t>
  </si>
  <si>
    <t>The Challenge of Chance : A Multidisciplinary Approach from Science and the Humanities</t>
  </si>
  <si>
    <t>The Cellular Automaton Interpretation of Quantum Mechanics</t>
  </si>
  <si>
    <t>Agile Processes in Software Engineering and Extreme Programming : 21st International Conference on Agile Software Development, XP 2020, Copenhagen, Denmark, June 8-12, 2020, Proceedings</t>
  </si>
  <si>
    <t>New Methods for Measuring and Analyzing Segregation</t>
  </si>
  <si>
    <t>Integrated Groundwater Management : Concepts, Approaches and Challenges</t>
  </si>
  <si>
    <t>Fading Foundations : Probability and the Regress Problem</t>
  </si>
  <si>
    <t>Ethics Dumping : Case Studies from North-South Research Collaborations</t>
  </si>
  <si>
    <t>Physiology, Psychoacoustics and Cognition in Normal and Impaired Hearing</t>
  </si>
  <si>
    <t>The Bavarian Commentary and Ovid : Clm 4610, the Earliest Documented Commentary on The 'Metamorphoses'</t>
  </si>
  <si>
    <t>The Life and Letters of William Sharp and Fiona Macleod : Volume 3: 1900-1905</t>
  </si>
  <si>
    <t>Liminal Spaces : Migration and Women of the Guyanese Diaspora</t>
  </si>
  <si>
    <t>Research, Ethics and Risk in the Authoritarian Field</t>
  </si>
  <si>
    <t>Care in Healthcare : Reflections on Theory and Practice</t>
  </si>
  <si>
    <t>Railway Ecology</t>
  </si>
  <si>
    <t>Investigating the Body in the Victorian Asylum : Doctors, Patients, and Practices</t>
  </si>
  <si>
    <t>Dignity in the 21st Century : Middle East and West</t>
  </si>
  <si>
    <t>Spanish Economic Growth, 1850-2015</t>
  </si>
  <si>
    <t>Beyond Safety Training : Embedding Safety in Professional Skills</t>
  </si>
  <si>
    <t>Promoting Active Citizenship : Markets and Choice in Scandinavian Welfare</t>
  </si>
  <si>
    <t>The Innovation Revolution in Agriculture : A Roadmap to Value Creation</t>
  </si>
  <si>
    <t>Exploring the Biopsychosocial Model in Irritable Bowel Syndrome : with emphasis on stress, comorbidities and fatigue</t>
  </si>
  <si>
    <t>Aspects of Vitamin D Deficiency in Elderly People in Nursing Homes and in Patients with Type 2 Diabetes : with Emphasis on Mortality, Cardiovascular Morbidity and Mental Health</t>
  </si>
  <si>
    <t>Vegetable Grafting : Principles and Practices</t>
  </si>
  <si>
    <t>CAB International</t>
  </si>
  <si>
    <t>Review of Invertebrate Biological Control Agents Introduced into Europe</t>
  </si>
  <si>
    <t>Legumes in Cropping Systems</t>
  </si>
  <si>
    <t>New Land, New Life : A Success Story of New Land Resettlement in Bangladesh</t>
  </si>
  <si>
    <t>Building Agricultural Extension Capacity in Post-Conflict Settings</t>
  </si>
  <si>
    <t>Global Health Research in an Unequal World : Ethics Case Studies from Africa</t>
  </si>
  <si>
    <t>Immune maturation and modulation in childhood allergies : Aspects of epigenetic, mucosal and systemic immune mediators in allergy development and prevention</t>
  </si>
  <si>
    <t>Photoemission and Characterization of Neutrophils and Nanoparticles : Energy Mapping and Elemental Composition with sub-µm Resolution</t>
  </si>
  <si>
    <t>Construction Logistics in a City Development Setting</t>
  </si>
  <si>
    <t>Clinical and immunological aspects on recurrent pregnancy loss</t>
  </si>
  <si>
    <t>Introducing Vigilant Audiences</t>
  </si>
  <si>
    <t>The Cultural Life of James Bond : Specters Of 007</t>
  </si>
  <si>
    <t>Autonomous Vehicle Maneuvering at the Limit of Friction</t>
  </si>
  <si>
    <t>Feedback in primary school classrooms</t>
  </si>
  <si>
    <t>Molecular and serological tools for clinical diagnostics of Lyme borreliosis - can the laboratory analysis be improved?</t>
  </si>
  <si>
    <t>Computed Tomography of the Coronary Arteries : Developmental and Prognostic Investigations</t>
  </si>
  <si>
    <t>Making up Numbers : A History of Invention in Mathematics</t>
  </si>
  <si>
    <t>B C, Before Computers : On Information Technology from Writing to the Age of Digital Data</t>
  </si>
  <si>
    <t>Affirmative Aesthetics and Wilful Women : Gender, Space and Mobility in Contemporary Cinema</t>
  </si>
  <si>
    <t>International Labour Organization and Global Social Governance</t>
  </si>
  <si>
    <t>Script Effects As the Hidden Drive of the Mind, Cognition, and Culture</t>
  </si>
  <si>
    <t>Illiberal Trends and Anti-EU Politics in East Central Europe</t>
  </si>
  <si>
    <t>Chemical Youth : Navigating Uncertainty in Search of the Good Life</t>
  </si>
  <si>
    <t>Future Space-Transport-System Components under High Thermal and Mechanical Loads : Results from the DFG Collaborative Research Center TRR40</t>
  </si>
  <si>
    <t>Demystifying Climate Models : A Users Guide to Earth System Models</t>
  </si>
  <si>
    <t>Re-Configurations : Contextualising Transformation Processes and Lasting Crises in the Middle East and North Africa</t>
  </si>
  <si>
    <t>Data Privacy and Trust in Cloud Computing : Building Trust in the Cloud Through Assurance and Accountability</t>
  </si>
  <si>
    <t>Semantic Systems. in the Era of Knowledge Graphs : 16th International Conference on Semantic Systems, SEMANTiCS 2020, Amsterdam, the Netherlands, September 7-10, 2020, Proceedings</t>
  </si>
  <si>
    <t>Beyond Media Borders, Volume 2 : Intermedial Relations among Multimodal Media</t>
  </si>
  <si>
    <t>Beyond Media Borders, Volume 1 : Intermedial Relations among Multimodal Media</t>
  </si>
  <si>
    <t>Ethics and Drug Resistance: Collective Responsibility for Global Public Health</t>
  </si>
  <si>
    <t>International Symposium on Mathematics, Quantum Theory, and Cryptography : Proceedings of MQC 2019</t>
  </si>
  <si>
    <t>Quantization on Nilpotent Lie Groups</t>
  </si>
  <si>
    <t>The Economics of Big Science : Essays by Leading Scientists and Policymakers</t>
  </si>
  <si>
    <t>Migration and Social Protection in Europe and Beyond (Volume 1) : Comparing Access to Welfare Entitlements</t>
  </si>
  <si>
    <t>Modeling Excitable Tissue : The EMI Framework</t>
  </si>
  <si>
    <t>Modes of Bio-Bordering : The Hidden (Dis)integration of Europe</t>
  </si>
  <si>
    <t>Migration and Social Protection in Europe and Beyond (Volume 2) : Comparing Consular Services and Diaspora Policies</t>
  </si>
  <si>
    <t>Civilian Lunatic Asylums During the First World War : A Study of Austerity on London's Fringe</t>
  </si>
  <si>
    <t>Survival of the Tamest : The Domesticated Phenotype in Red Junglefowl Selected for Tameness</t>
  </si>
  <si>
    <t>Human Trafficking in Medieval Europe : Slavery, Sexual Exploitation, and Prostitution</t>
  </si>
  <si>
    <t>Atlas: A 25-year Insider Story Of The Lhc Experiment</t>
  </si>
  <si>
    <t>Myanmar: Reintegrating Into The International Community</t>
  </si>
  <si>
    <t>Biocomputing 2017 - Proceedings Of The Pacific Symposium</t>
  </si>
  <si>
    <t>Biocomputing 2016 - Proceedings Of The Pacific Symposium</t>
  </si>
  <si>
    <t>Genome Informatics 2009: Genome Informatics Series Vol. 22 - Proceedings Of The 9th Annual International Workshop On Bioinformatics And Systems Biology (Ibsb 2009)</t>
  </si>
  <si>
    <t>Genome Informatics 2009: Genome Informatics Series Vol. 23 - Proceedings Of The 20th International Conference</t>
  </si>
  <si>
    <t>Biocomputing 2020 - Proceedings Of The Pacific Symposium</t>
  </si>
  <si>
    <t>Fourteenth Marcel Grossmann Meeting, The: On Recent Developments In Theoretical And Experimental General Relativity, Astrophysics, And Relativistic Field Theories - Proceedings Of The Mg14 Meeting On General Relativity (In 4 Parts)</t>
  </si>
  <si>
    <t>Polarization Phenomena In Physics: Applications To Nuclear Reactions</t>
  </si>
  <si>
    <t>Biocomputing 2018 - Proceedings Of The Pacific Symposium</t>
  </si>
  <si>
    <t>Nature, Place &amp; People: Forging Connections Through Neighbourhood Landscape Design</t>
  </si>
  <si>
    <t>Innovations In Insurance, Risk- And Asset Management - Proceedings Of The Innovations In Insurance, Risk- And Asset Management Conference</t>
  </si>
  <si>
    <t>Agriculture &amp; Food Systems To 2050: Global Trends, Challenges And Opportunities</t>
  </si>
  <si>
    <t>Biocomputing 2019 - Proceedings Of The Pacific Symposium</t>
  </si>
  <si>
    <t>Biocomputing 2012 - Proceedings Of The Pacific Symposium</t>
  </si>
  <si>
    <t>Biocomputing 2013 - Proceedings Of The Pacific Symposium</t>
  </si>
  <si>
    <t>Biocomputing 2011 - Proceedings Of The Pacific Symposium</t>
  </si>
  <si>
    <t>Biocomputing 2010 - Proceedings Of The Pacific Symposium</t>
  </si>
  <si>
    <t>Biological Information: New Perspectives - Proceedings Of The Symposium</t>
  </si>
  <si>
    <t>Pacific Symposium On Biocomputing 2014</t>
  </si>
  <si>
    <t>60 Years Of Cern Experiments And Discoveries</t>
  </si>
  <si>
    <t>Pacific Symposium On Biocomputing 2015</t>
  </si>
  <si>
    <t>High Luminosity Large Hadron Collider, The: The New Machine For Illuminating The Mysteries Of Universe</t>
  </si>
  <si>
    <t>Sustainable Asia: Supporting The Transition To Sustainable Consumption And Production In Asian Developing Countries</t>
  </si>
  <si>
    <t>Standard Theory Of Particle Physics, The: Essays To Celebrate Cern's 60th Anniversary</t>
  </si>
  <si>
    <t>Technology Meets Research - 60 Years Of Cern Technology: Selected Highlights</t>
  </si>
  <si>
    <t>Social Determinants of Health in Non-Communicable Diseases : Case Studies from Japan</t>
  </si>
  <si>
    <t>The State of Peacebuilding in Africa : Lessons Learned for Policymakers and Practitioners</t>
  </si>
  <si>
    <t>Data Parallel C++ : Mastering DPC++ for Programming of Heterogeneous Systems Using C++ and SYCL</t>
  </si>
  <si>
    <t>Apress L. P.</t>
  </si>
  <si>
    <t>Claiming Union Widowhood : Race, Respectability, and Poverty in the Post-Emancipation South</t>
  </si>
  <si>
    <t>Minimally Invasive Glaucoma Surgery</t>
  </si>
  <si>
    <t>Cohesion, Coherence and Temporal Reference from an Experimental Corpus Pragmatics Perspective</t>
  </si>
  <si>
    <t>Cultural Convergence : The Dublin Gate Theatre, 1928-1960</t>
  </si>
  <si>
    <t>Implementing Deeper Learning and 21st Century Education Reforms : Building an Education Renaissance after a Global Pandemic</t>
  </si>
  <si>
    <t>Patterns of Change in 18th-Century English : A Sociolinguistic Approach</t>
  </si>
  <si>
    <t>Constructicography : Constructicon Development Across Languages</t>
  </si>
  <si>
    <t>Atypical Language Development in Romance Languages</t>
  </si>
  <si>
    <t>Approaches to Hungarian : Volume 16: Papers from the 2017 Budapest Conference</t>
  </si>
  <si>
    <t>Language Planning As Nation Building : Ideology, Policy and Implementation in the Netherlands, 1750-1850</t>
  </si>
  <si>
    <t>A Comparative Grammar of the Early Germanic Languages</t>
  </si>
  <si>
    <t>Skyping the Family : Interpersonal Video Communication and Domestic Life</t>
  </si>
  <si>
    <t>Sozioanalyse in der Pädagogischen Arbeit : Ansätze und Möglichkeiten Zur Bearbeitung Von Bildungsungleichheit</t>
  </si>
  <si>
    <t>Applied Pedagogies for Higher Education : Real World Learning and Innovation Across the Curriculum</t>
  </si>
  <si>
    <t>Digitalisierung Souverän Gestalten : Innovative Impulse Im Maschinenbau</t>
  </si>
  <si>
    <t>Pain, Touch, and Decision Making : Behavioral and Brain Responses to Affective Somatosensory Stimulation</t>
  </si>
  <si>
    <t>Support for the conceptual design stage of effective and resource-efficient offerings : A pragmatic and cross-disciplinary approach</t>
  </si>
  <si>
    <t>Lattice dynamics : From fundamental research to practical applications</t>
  </si>
  <si>
    <t>The pain profile in fibromyalgia : Painomic studies of pain characteristics and proteins in blood</t>
  </si>
  <si>
    <t>Innate immune responses to &lt;em&gt;Mycobacterium tuberculosis&lt;/em&gt; infection : How extracellular traps and trained immunity can restrict bacterial growth.</t>
  </si>
  <si>
    <t>Social Hierarchies between Democracy and Autocracy</t>
  </si>
  <si>
    <t>Transnational Solidarity in Times of Crises : Citizen Organisations and Collective Learning in Europe</t>
  </si>
  <si>
    <t>European Higher Education Area: Challenges for a New Decade</t>
  </si>
  <si>
    <t>Migration and Social Protection in Europe and Beyond (Volume 3) : A Focus on Non-EU Sending States</t>
  </si>
  <si>
    <t>Guardians of Public Value : How Public Organisations Become and Remain Institutions</t>
  </si>
  <si>
    <t>Studierendenmigration und Entwicklung : Eine Fallstudie Am Beispiel des KAAD</t>
  </si>
  <si>
    <t>Digital Entrepreneurship : Impact on Business and Society</t>
  </si>
  <si>
    <t>Towards a Comparative Analysis of Social Inequalities Between Europe and Latin America</t>
  </si>
  <si>
    <t>Wirtschaft Neu Lehren : Erfahrungen Aus der Pluralen, Sozioökonomischen Hochschulbildung</t>
  </si>
  <si>
    <t>Applications of summation-by-parts operators</t>
  </si>
  <si>
    <t>Immune regulation at the foetal-maternal interface</t>
  </si>
  <si>
    <t>Color Tuning for Perovskite Light-Emitting Diodes</t>
  </si>
  <si>
    <t>[Faust. Jern und Bäteln. Scherz, List und Rache]</t>
  </si>
  <si>
    <t>1790-04-01</t>
  </si>
  <si>
    <t>Social Movements and Solidarity Structures in Crisis-Ridden Greece</t>
  </si>
  <si>
    <t>Water Conflicts and Cooperation: a Media Handbook</t>
  </si>
  <si>
    <t>Maria Stuart</t>
  </si>
  <si>
    <t>Plato's 'Republic' : An Introduction</t>
  </si>
  <si>
    <t>The Atheist's Bible : Diderot's 'Éléments de Physiologie'</t>
  </si>
  <si>
    <t>Unsettling Responsibility in Science Education : Indigenous Science, Deconstruction, and the Multicultural Science Education Debate</t>
  </si>
  <si>
    <t>XcalableMP PGAS Programming Language : From Programming Model to Applications</t>
  </si>
  <si>
    <t>The Social Dynamics of Labor Market Inclusion</t>
  </si>
  <si>
    <t>Kunskap i läroplaner för yrkesutbildning och makt i samhälle och på arbetsmarknaden : Politik och praktik: efterfrågebaserad och arbetsgivarstyrd svensk yrkeshögskoleutbildning</t>
  </si>
  <si>
    <t>Neuro-immuno-regulation of inflammation in the colonic mucosa : Focus on mast cells and eosinophils in bowel disorders</t>
  </si>
  <si>
    <t>Metal film growth on weakly-interacting substrates : Multiscale modeling</t>
  </si>
  <si>
    <t>Drug use during pregnancy with focus on antidepressants</t>
  </si>
  <si>
    <t>Pilot Society and the Energy Transition : The Co-Shaping of Innovation, Participation and Politics</t>
  </si>
  <si>
    <t>Teaching Multiplication with Lesson Study : Japanese and Ibero-American Theories for International Mathematics Education</t>
  </si>
  <si>
    <t>Improving a Country's Education : PISA 2018 Results in 10 Countries</t>
  </si>
  <si>
    <t>Organic Waste Composting Through Nexus Thinking : Practices, Policies, and Trends</t>
  </si>
  <si>
    <t>Produktivitätsmanagement 4. 0 : Praxiserprobte Vorgehensweisen Zur Nutzung der Digitalisierung in der Industrie</t>
  </si>
  <si>
    <t>Anti-Microbial Resistance in Global Perspective</t>
  </si>
  <si>
    <t>Multiscale Biomechanics and Tribology of Inorganic and Organic Systems : In Memory of Professor Sergey Psakhie</t>
  </si>
  <si>
    <t>The Impact of the International Livestock Research Institute</t>
  </si>
  <si>
    <t>The Palgrave Handbook of Development Cooperation for Achieving the 2030 Agenda : Contested Collaboration</t>
  </si>
  <si>
    <t>Teacher Transition into Innovative Learning Environments : A Global Perspective</t>
  </si>
  <si>
    <t>Asylum Matters : On the Front Line of Administrative Decision-Making</t>
  </si>
  <si>
    <t>Klima : Politik and Green Deal | Technologie and Digitalisierung | Gesellschaft and Wirtschaft</t>
  </si>
  <si>
    <t>Tourismus und Klimawandel</t>
  </si>
  <si>
    <t>Environmental Valuation with Discrete Choice Experiments : Guidance on Design, Implementation and Data Analysis</t>
  </si>
  <si>
    <t>Taming the Big Green Elephant : Setting in Motion the Transformation Towards Sustainability</t>
  </si>
  <si>
    <t>European Cultural Diplomacy and Arab Christians in Palestine, 1918-1948 : Between Contention and Connection</t>
  </si>
  <si>
    <t>Gender, Reading, and Truth in the Twelfth Century : The Woman in the Mirror</t>
  </si>
  <si>
    <t>The World of the Seafarer : Qualitative Accounts of Working in the Global Shipping Industry</t>
  </si>
  <si>
    <t>Ernst Denert Award for Software Engineering 2019 : Practice Meets Foundations</t>
  </si>
  <si>
    <t>NL ARMS Netherlands Annual Review of Military Studies 2020 : Deterrence in the 21st Century--Insights from Theory and Practice</t>
  </si>
  <si>
    <t>T.M.C. Asser Press</t>
  </si>
  <si>
    <t>Education and Climate Change : The Role of Universities</t>
  </si>
  <si>
    <t>Mesoscale Analysis of Hydraulics</t>
  </si>
  <si>
    <t>Italienisches, Europäisches und Internationales Immaterialgüterrecht</t>
  </si>
  <si>
    <t>Inside Asylum Bureaucracy: Organizing Refugee Status Determination in Austria</t>
  </si>
  <si>
    <t>Plant Selection for Bioretention Systems and Stormwater Treatment Practices</t>
  </si>
  <si>
    <t>Social and Political Dimensions of Mathematics Education : Current Thinking</t>
  </si>
  <si>
    <t>Seeing Ourselves Through Technology : How We Use Selfies, Blogs and Wearable Devices to See and Shape Ourselves</t>
  </si>
  <si>
    <t>North Sea Region Climate Change Assessment</t>
  </si>
  <si>
    <t>Natural Computing and Beyond : Winter School Hakodate 2011, Hakodate, Japan, March 2011 and 6th International Workshop on Natural Computing, Tokyo, Japan, March 2012, Proceedings</t>
  </si>
  <si>
    <t>Complications and Quandaries in the ICT Sector : Standard Essential Patents and Competition Issues</t>
  </si>
  <si>
    <t>Theories in and of Mathematics Education : Theory Strands in German Speaking Countries</t>
  </si>
  <si>
    <t>Diseases of the Chest, Breast, Heart and Vessels 2019-2022 : Diagnostic and Interventional Imaging</t>
  </si>
  <si>
    <t>Comparative Perspectives on Work-Life Balance and Gender Equality : Fathers on Leave Alone</t>
  </si>
  <si>
    <t>Capital Punishment and the Criminal Corpse in Scotland, 1740-1834</t>
  </si>
  <si>
    <t>The Privacy Engineer's Manifesto : Getting from Policy to Code to QA to Value</t>
  </si>
  <si>
    <t>Android Application Development for the Intel Platform</t>
  </si>
  <si>
    <t>Transitions in Mathematics Education</t>
  </si>
  <si>
    <t>Safety Cultures, Safety Models : Taking Stock and Moving Forward</t>
  </si>
  <si>
    <t>Junge Perspektiven der Türkeiforschung in Deutschland : Band 1</t>
  </si>
  <si>
    <t>Flexibel Studieren - Vereinbarkeit Ermöglichen : Studienstrukturen Für eine Diverse Studierendenschaft</t>
  </si>
  <si>
    <t>Springer Vieweg. in Springer Fachmedien Wiesbaden GmbH</t>
  </si>
  <si>
    <t>Wissenschaft und Gesellschaft: ein Vertrauensvoller Dialog : Positionen und Perspektiven der Wissenschaftskommunikation Heute</t>
  </si>
  <si>
    <t>Second Assessment of Climate Change for the Baltic Sea Basin</t>
  </si>
  <si>
    <t>Executing Magic in the Modern Era : Criminal Bodies and the Gallows in Popular Medicine</t>
  </si>
  <si>
    <t>Migration, Gender and Social Justice : Perspectives on Human Insecurity</t>
  </si>
  <si>
    <t>Radiological Issues for Fukushima's Revitalized Future</t>
  </si>
  <si>
    <t>Advances in Production Technology</t>
  </si>
  <si>
    <t>Building the Infrastructure for Cloud Security : A Solutions View</t>
  </si>
  <si>
    <t>Kundennutzen Durch Digitale Transformation : Business-Process-Management-Studie - Status Quo und Erfolgsmuster</t>
  </si>
  <si>
    <t>Twitter Als Basis Wissenschaftlicher Studien : Eine Bewertung Gängiger Erhebungs- und Analysemethoden der Twitter-Forschung</t>
  </si>
  <si>
    <t>Prozessintelligenz : Business-Process-Management-Studie - Status Quo und Erfolgsmuster</t>
  </si>
  <si>
    <t>The EU and China in African Authoritarian Regimes : Domestic Politics and Governance Reforms</t>
  </si>
  <si>
    <t>Socioeconomic and Environmental Implications of Agricultural Residue Burning : A Case Study of Punjab, India</t>
  </si>
  <si>
    <t>Springer (India) Private Limited</t>
  </si>
  <si>
    <t>Self-Reported Population Health: an International Perspective Based on EQ-5D</t>
  </si>
  <si>
    <t>Subseafloor Biosphere Linked to Hydrothermal Systems : TAIGA Concept</t>
  </si>
  <si>
    <t>Compositionality and Concepts in Linguistics and Psychology</t>
  </si>
  <si>
    <t>Exceptional Lifespans</t>
  </si>
  <si>
    <t>Ranaviruses : Lethal Pathogens of Ectothermic Vertebrates</t>
  </si>
  <si>
    <t>A History of Radionuclide Studies in the UK : 50th Anniversary of the British Nuclear Medicine Society</t>
  </si>
  <si>
    <t>Inorganic Constituents in Soil : Basics and Visuals</t>
  </si>
  <si>
    <t>Nils Petter Gleditsch: Pioneer in the Analysis of War and Peace</t>
  </si>
  <si>
    <t>Aquaculture Perspective of Multi-Use Sites in the Open Ocean : The Untapped Potential for Marine Resources in the Anthropocene</t>
  </si>
  <si>
    <t>Agricultural and Forestry Reconstruction after the Great East Japan Earthquake : Tsunami, Radioactive, and Reputational Damages</t>
  </si>
  <si>
    <t>Transgovernance : Advancing Sustainability Governance</t>
  </si>
  <si>
    <t>The InfoSec Handbook : An Introduction to Information Security</t>
  </si>
  <si>
    <t>Verrechnungspreise : Grundlagen und Praxis</t>
  </si>
  <si>
    <t>Early Geometrical Thinking in the Environment of Patterns, Mosaics and Isometries</t>
  </si>
  <si>
    <t>The Handbook of Salutogenesis</t>
  </si>
  <si>
    <t>Peer Review, Peer Education, and Modeling in the Practice of Clinical Ethics Consultation: the Zadeh Project</t>
  </si>
  <si>
    <t>The Making of Islamic Heritage : Muslim Pasts and Heritage Presents</t>
  </si>
  <si>
    <t>Circular Migration and the Rights of Migrant Workers in Central and Eastern Europe : The EU Promise of a Triple Win Solution</t>
  </si>
  <si>
    <t>Financial Crisis Management and Democracy : Lessons from Europe and Latin America</t>
  </si>
  <si>
    <t>Energy Efficient Servers : Blueprints for Data Center Optimization</t>
  </si>
  <si>
    <t>Report on Global Environmental Competitiveness (2013)</t>
  </si>
  <si>
    <t>Managing the Complexity of Critical Infrastructures : A Modelling and Simulation Approach</t>
  </si>
  <si>
    <t>Autonomous Driving : Technical, Legal and Social Aspects</t>
  </si>
  <si>
    <t>Balanced Urban Development: Options and Strategies for Liveable Cities</t>
  </si>
  <si>
    <t>The Future Internet : Future Internet Assembly 2013: Validated Results and New Horizons</t>
  </si>
  <si>
    <t>Digital Video Concepts, Methods, and Metrics : Quality, Compression, Performance, and Power Trade-Off Analysis</t>
  </si>
  <si>
    <t>Air Quality Integrated Assessment : A European Perspective</t>
  </si>
  <si>
    <t>White Paper on Joint Replacement : Status of Hip and Knee Arthroplasty Care in Germany</t>
  </si>
  <si>
    <t>Teaching and Learning of Calculus</t>
  </si>
  <si>
    <t>The Future of the Law of the Sea : Bridging Gaps Between National, Individual and Common Interests</t>
  </si>
  <si>
    <t>A Life Course Perspective on Health Trajectories and Transitions</t>
  </si>
  <si>
    <t>Model-Driven Development and Operation of Multi-Cloud Applications : The MODAClouds Approach</t>
  </si>
  <si>
    <t>Innovations in Derivatives Markets : Fixed Income Modeling, Valuation Adjustments, Risk Management, and Regulation</t>
  </si>
  <si>
    <t>Diseases of the Abdomen and Pelvis 2018-2021 : Diagnostic Imaging - IDKD Book</t>
  </si>
  <si>
    <t>Advances in Wheat Genetics: from Genome to Field : Proceedings of the 12th International Wheat Genetics Symposium</t>
  </si>
  <si>
    <t>Illustrated Pollen Terminology</t>
  </si>
  <si>
    <t>Knowledge and Action</t>
  </si>
  <si>
    <t>Agroecology Now! : Transformations Towards More Just and Sustainable Food Systems</t>
  </si>
  <si>
    <t>A History of Force Feeding : Hunger Strikes, Prisons and Medical Ethics, 1909-1974</t>
  </si>
  <si>
    <t>Die Big-Data-Debatte : Chancen und Risiken der Digital Vernetzten Gesellschaft</t>
  </si>
  <si>
    <t>Ship and Offshore Structure Design in Climate Change Perspective</t>
  </si>
  <si>
    <t>Risikoadaptierte Prävention : Governance Perspective Für Leistungsansprüche Bei Genetischen (Brustkrebs-)Risiken</t>
  </si>
  <si>
    <t>Nordic Mediation Research</t>
  </si>
  <si>
    <t>Promoting Social Dialogue in European Organizations : Human Resources Management and Constructive Conflict Management</t>
  </si>
  <si>
    <t>Tuberculosis in Adults and Children</t>
  </si>
  <si>
    <t>Guideline for Salinity Assessment, Mitigation and Adaptation Using Nuclear and Related Techniques</t>
  </si>
  <si>
    <t>Methodological Investigations in Agent-Based Modelling : With Applications for the Social Sciences</t>
  </si>
  <si>
    <t>International Comparative Studies in Mathematics : Lessons for Improving Students' Learning</t>
  </si>
  <si>
    <t>Proceedings of the 13th International Congress on Mathematical Education : Icme-13</t>
  </si>
  <si>
    <t>Weather and Climate Services for the Energy Industry</t>
  </si>
  <si>
    <t>Companion to European Heritage Revivals</t>
  </si>
  <si>
    <t>Lone Parenthood in the Life Course</t>
  </si>
  <si>
    <t>Grassroots Politics and Oil Culture in Venezuela : The Revolutionary Petro-State</t>
  </si>
  <si>
    <t>The Ecological Scarcity Method for the European Union : A Volkswagen Research Initiative: Environmental Assessments</t>
  </si>
  <si>
    <t>Innovative Medicine : Basic Research and Development</t>
  </si>
  <si>
    <t>Access to Online Resources : A Guide for the Modern Librarian</t>
  </si>
  <si>
    <t>Skills Development for Inclusive and Sustainable Growth in Developing Asia-Pacific</t>
  </si>
  <si>
    <t>DevOps for Digital Leaders : Reignite Business with a Modern DevOps-Enabled Software Factory</t>
  </si>
  <si>
    <t>Migration in the Southern Balkans : From Ottoman Territory to Globalized Nation States</t>
  </si>
  <si>
    <t>Reflections on the Fukushima Daiichi Nuclear Accident : Toward Social-Scientific Literacy and Engineering Resilience</t>
  </si>
  <si>
    <t>Rising Powers and Peacebuilding : Breaking the Mold?</t>
  </si>
  <si>
    <t>Telecommunication Economics : Selected Results of the COST Action IS0605 Econ@Tel</t>
  </si>
  <si>
    <t>Entity-Oriented Search</t>
  </si>
  <si>
    <t>Mobilities of Knowledge</t>
  </si>
  <si>
    <t>Interface Oral Health Science 2016 : Innovative Research on Biosis-Abiosis Intelligent Interface</t>
  </si>
  <si>
    <t>A History of Self-Harm in Britain : A Genealogy of Cutting and Overdosing</t>
  </si>
  <si>
    <t>The European Higher Education Area : Between Critical Reflections and Future Policies</t>
  </si>
  <si>
    <t>Talent Development in European Higher Education : Honors Programs in the Benelux, Nordic and German-Speaking Countries</t>
  </si>
  <si>
    <t>Ocean-Atmosphere Interactions of Gases and Particles</t>
  </si>
  <si>
    <t>Constructions of Cancer in Early Modern England : Ravenous Natures</t>
  </si>
  <si>
    <t>Nuclear Back-End and Transmutation Technology for Waste Disposal : Beyond the Fukushima Accident</t>
  </si>
  <si>
    <t>Bisociative Knowledge Discovery : An Introduction to Concept, Algorithms, Tools, and Applications</t>
  </si>
  <si>
    <t>Disasters: Core Concepts and Ethical Theories</t>
  </si>
  <si>
    <t>Ukrainian Migration to the European Union : Lessons from Migration Studies</t>
  </si>
  <si>
    <t>Managing Elevated Risk : Global Liquidity, Capital Flows, and Macroprudential Policy--An Asian Perspective</t>
  </si>
  <si>
    <t>Social Statistics and Ethnic Diversity : Cross-National Perspectives in Classifications and Identity Politics</t>
  </si>
  <si>
    <t>Science and Technology Governance and Ethics : A Global Perspective from Europe, India and China</t>
  </si>
  <si>
    <t>Krankenhaus-Report 2019 : Das Digitale Krankenhaus</t>
  </si>
  <si>
    <t>Mare-Wint : New Materials and Reliability in Offshore Wind Turbine Technology</t>
  </si>
  <si>
    <t>A History of Male Psychological Disorders in Britain, 1945-1980</t>
  </si>
  <si>
    <t>Humanities World Report 2015</t>
  </si>
  <si>
    <t>Weißbuch Gelenkersatz : Versorgungssituation Endoprothetischer Hüft- und Knieoperationen in Deutschland</t>
  </si>
  <si>
    <t>Nicotinic Acetylcholine Receptor Signaling in Neuroprotection</t>
  </si>
  <si>
    <t>Biomineralization : From Molecular and Nano-Structural Analyses to Environmental Science</t>
  </si>
  <si>
    <t>Nuel Belnap on Indeterminism and Free Action</t>
  </si>
  <si>
    <t>Library and Information Sciences : Trends and Research</t>
  </si>
  <si>
    <t>Protecting the Rights of People with Autism in the Fields of Education and Employment : International, European and National Perspectives</t>
  </si>
  <si>
    <t>Integrating Immigrants in Europe : Research-Policy Dialogues</t>
  </si>
  <si>
    <t>Economics of Land Degradation and Improvement - a Global Assessment for Sustainable Development</t>
  </si>
  <si>
    <t>Ethnic Identity, Social Mobility and the Role of Soulmates</t>
  </si>
  <si>
    <t>Nanoinformatics</t>
  </si>
  <si>
    <t>Das Blaue Buch : Chemotherapie-Manual Hämatologie und Onkologie</t>
  </si>
  <si>
    <t>Perspectives on European Earthquake Engineering and Seismology : Volume 2</t>
  </si>
  <si>
    <t>Research on Teaching and Learning Mathematics at the Tertiary Level : State-Of-the-art and Looking Ahead</t>
  </si>
  <si>
    <t>Food Price Volatility and Its Implications for Food Security and Policy</t>
  </si>
  <si>
    <t>Interdisciplinary Mathematics Education : A State of the Art</t>
  </si>
  <si>
    <t>The Ethics of Educational Healthcare Placements in Low and Middle Income Countries : First Do No Harm?</t>
  </si>
  <si>
    <t>Formalizing the Shadow Economy in Serbia : Policy Measures and Growth Effects</t>
  </si>
  <si>
    <t>Öffentliche Verwaltung - Verwaltung in Der Öffentlichkeit : Herausforderungen und Chancen der Kommunikation öffentlicher Institutionen</t>
  </si>
  <si>
    <t>Education and Skills for Inclusive Growth, Green Jobs and the Greening of Economies in Asia : Case Study Summaries of India, Indonesia, Sri Lanka and Viet Nam</t>
  </si>
  <si>
    <t>Fungal Disease in Britain and the United States 1850-2000 : Mycoses and Modernity</t>
  </si>
  <si>
    <t>Socioeconomics of Agriculture</t>
  </si>
  <si>
    <t>Sustainable Living with Environmental Risks</t>
  </si>
  <si>
    <t>A Demographic Perspective on Gender, Family and Health in Europe</t>
  </si>
  <si>
    <t>Religiöse Rituale und Soziale Ordnung</t>
  </si>
  <si>
    <t>Etiology and Morphogenesis of Congenital Heart Disease : From Gene Function and Cellular Interaction to Morphology</t>
  </si>
  <si>
    <t>The Restless Compendium : Interdisciplinary Investigations of Rest and Its Opposites</t>
  </si>
  <si>
    <t>Linear Selection Indices in Modern Plant Breeding</t>
  </si>
  <si>
    <t>Transdisziplinär und Transformativ Forschen : Eine Methodensammlung</t>
  </si>
  <si>
    <t>Gesundheitsversorgung Am Lebensende : Soziale Ungleichheit in Bezug Auf Institutionsaufenthalte und Sterbeorte</t>
  </si>
  <si>
    <t>Media Resistance : Protest, Dislike, Abstention</t>
  </si>
  <si>
    <t>Pragmatic Philanthropy : Asian Charity Explained</t>
  </si>
  <si>
    <t>Manifesto of the New Economy : Institutions and Business Models of the Digital Society</t>
  </si>
  <si>
    <t>Agricultural Implications of the Fukushima Nuclear Accident</t>
  </si>
  <si>
    <t>Handbook of Ocean Wave Energy</t>
  </si>
  <si>
    <t>Young People's Views of Government, Peaceful Coexistence, and Diversity in Five Latin American Countries : IEA International Civic and Citizenship Education Study 2016 Latin American Report</t>
  </si>
  <si>
    <t>Berufliche Passagen Im Lebenslauf : Berufsbildungs- und Transitionsforschung in der Schweiz</t>
  </si>
  <si>
    <t>Social Innovations in the Urban Context</t>
  </si>
  <si>
    <t>Protest Movements in Asylum and Deportation</t>
  </si>
  <si>
    <t>TouchDevelop : Programming on the Go</t>
  </si>
  <si>
    <t>Environmental Governance of the Baltic Sea</t>
  </si>
  <si>
    <t>Interferometry and Synthesis in Radio Astronomy</t>
  </si>
  <si>
    <t>Cyborgs in Latin America</t>
  </si>
  <si>
    <t>Physical (a)Causality : Determinism, Randomness and Uncaused Events</t>
  </si>
  <si>
    <t>Embedded Firmware Solutions : Development Best Practices for the Internet of Things</t>
  </si>
  <si>
    <t>Pflege-Report 2019 : Mehr Personal in der Langzeitpflege - Aber Woher?</t>
  </si>
  <si>
    <t>Freiwilliges Engagement in Deutschland : Der Deutsche Freiwilligensurvey 2014</t>
  </si>
  <si>
    <t>Contemporary Issues in Human Rights Law : Europe and Asia</t>
  </si>
  <si>
    <t>Climate Smart Agriculture : Building Resilience to Climate Change</t>
  </si>
  <si>
    <t>Childlessness in Europe: Contexts, Causes, and Consequences</t>
  </si>
  <si>
    <t>Nature-Based Solutions to Climate Change Adaptation in Urban Areas : Linkages Between Science, Policy and Practice</t>
  </si>
  <si>
    <t>Renewing Local Planning to Face Climate Change in the Tropics</t>
  </si>
  <si>
    <t>Inklusives Wachstum und Wirtschaftliche Sicherheit : Erkenntnisse ökonomischer Spitzenforschung Prägnant Zusammengefasst</t>
  </si>
  <si>
    <t>META-NET Strategic Research Agenda for Multilingual Europe 2020</t>
  </si>
  <si>
    <t>Early Childhood Policies and Systems in Eight Countries : Findings from IEA's Early Childhood Education Study</t>
  </si>
  <si>
    <t>Mergers and Alliances in Higher Education : International Practice and Emerging Opportunities</t>
  </si>
  <si>
    <t>Inter-Group Relations and Migrant Integration in European Cities : Changing Neighbourhoods</t>
  </si>
  <si>
    <t>Low-Cost Methods for Molecular Characterization of Mutant Plants : Tissue Desiccation, DNA Extraction and Mutation Discovery: Protocols</t>
  </si>
  <si>
    <t>Corporate Data Quality : Voraussetzung Erfolgreicher Geschäftsmodelle</t>
  </si>
  <si>
    <t>The Mathematics Education of Prospective Secondary Teachers Around the World</t>
  </si>
  <si>
    <t>Environmental Leadership Capacity Building in Higher Education : Experience and Lessons from Asian Program for Incubation of Environmental Leaders</t>
  </si>
  <si>
    <t>Think Big, Start Small : Streetscooter Die e-Mobile Erfolgsstory: Innovationsprozesse Radikal Effizienter</t>
  </si>
  <si>
    <t>Familial Feeling : Entangled Tonalities in Early Black Atlantic Writing and the Rise of the British Novel</t>
  </si>
  <si>
    <t>Habitats and Biota of the Gulf of Mexico: Before the Deepwater Horizon Oil Spill : Volume 2: Fish Resources, Fisheries, Sea Turtles, Avian Resources, Marine Mammals, Diseases and Mortalities</t>
  </si>
  <si>
    <t>Springer New York</t>
  </si>
  <si>
    <t>Affe und Affekt : Die Poetik und Politik der Emotionalität in der Primatologie</t>
  </si>
  <si>
    <t>J. B. Metzler'sche Verlagsbuchhandlung &amp; Carl Ernst Poeschel GmbH</t>
  </si>
  <si>
    <t>Pro Git</t>
  </si>
  <si>
    <t>Impacts of the Fukushima Nuclear Accident on Fish and Fishing Grounds</t>
  </si>
  <si>
    <t>Limits to the European Union's Normative Power in a Post-Conflict Society : EULEX and Peacebuilding in Kosovo</t>
  </si>
  <si>
    <t>Android on X86 : An Introduction to Optimizing for Intel Architecture</t>
  </si>
  <si>
    <t>Radiation Monitoring and Dose Estimation of the Fukushima Nuclear Accident</t>
  </si>
  <si>
    <t>Managing Risk and Information Security : Protect to Enable</t>
  </si>
  <si>
    <t>Advancing Human Assessment : The Methodological, Psychological and Policy Contributions of ETS</t>
  </si>
  <si>
    <t>Delusions in Context</t>
  </si>
  <si>
    <t>Cultural Heritage in a Changing World</t>
  </si>
  <si>
    <t>Weißbuch Multiple Sklerose : Versorgungssituation in Deutschland</t>
  </si>
  <si>
    <t>Society - Water - Technology : A Critical Appraisal of Major Water Engineering Projects</t>
  </si>
  <si>
    <t>Office 365: Migrating and Managing Your Business in the Cloud</t>
  </si>
  <si>
    <t>The Cost of Insanity in Nineteenth-Century Ireland : Public, Voluntary and Private Asylum Care</t>
  </si>
  <si>
    <t>Marine Carbon Biogeochemistry : A Primer for Earth System Scientists</t>
  </si>
  <si>
    <t>Self-Assembled Molecules - New Kind of Protein Ligands : Supramolecular Ligands</t>
  </si>
  <si>
    <t>Autonomes Fahren : Technische, Rechtliche und Gesellschaftliche Aspekte</t>
  </si>
  <si>
    <t>Technological and Institutional Innovations for Marginalized Smallholders in Agricultural Development</t>
  </si>
  <si>
    <t>Enabling Asia to Stabilise the Climate</t>
  </si>
  <si>
    <t>The Great Disruptor : Über Trump, Die Medien und Die Politik der Herabsetzung</t>
  </si>
  <si>
    <t>Practical Economics : Economic Transformation and Government Reform in Georgia 2004-2012</t>
  </si>
  <si>
    <t>Computer Vision Metrics : Survey, Taxonomy, and Analysis</t>
  </si>
  <si>
    <t>Migrating and Settling in a Mobile World : Albanian Migrants and Their Children in Europe</t>
  </si>
  <si>
    <t>Zukunft der Arbeit - eine Praxisnahe Betrachtung</t>
  </si>
  <si>
    <t>Contested Childhoods: Growing up in Migrancy : Migration, Governance, Identities</t>
  </si>
  <si>
    <t>Digitale Souveränität : Bürger, Unternehmen, Staat</t>
  </si>
  <si>
    <t>Who Will Be the Next President? : A Guide to the U. S. Presidential Election System</t>
  </si>
  <si>
    <t>Understanding Society and Natural Resources : Forging New Strands of Integration Across the Social Sciences</t>
  </si>
  <si>
    <t>Digitale Transformation : Fallbeispiele und Branchenanalysen</t>
  </si>
  <si>
    <t>The Proceedings of the 12th International Congress on Mathematical Education : Intellectual and Attitudinal Challenges</t>
  </si>
  <si>
    <t>Indigenous Pathways, Transitions and Participation in Higher Education : From Policy to Practice</t>
  </si>
  <si>
    <t>Environmental Governance in Latin America</t>
  </si>
  <si>
    <t>Child Protection in England, 1960-2000 : Expertise, Experience, and Emotion</t>
  </si>
  <si>
    <t>Projection-Based Clustering Through Self-Organization and Swarm Intelligence : Combining Cluster Analysis with the Visualization of High-Dimensional Data</t>
  </si>
  <si>
    <t>Regulatory Pathways for Smart Grid Development in China</t>
  </si>
  <si>
    <t>Genome Editing in Neurosciences</t>
  </si>
  <si>
    <t>Sensor Technologies : Healthcare, Wellness and Environmental Applications</t>
  </si>
  <si>
    <t>History of Mathematics Teaching and Learning : Achievements, Problems, Prospects</t>
  </si>
  <si>
    <t>IEA International Civic and Citizenship Education Study 2016 Assessment Framework</t>
  </si>
  <si>
    <t>Counteracting Urban Heat Island Effects in a Global Climate Change Scenario</t>
  </si>
  <si>
    <t>Multiculturalism and Conflict Reconciliation in the Asia-Pacific : Migration, Language and Politics</t>
  </si>
  <si>
    <t>Research on and Activities for Mathematically Gifted Students</t>
  </si>
  <si>
    <t>Non-Vitamin K Antagonist Oral Anticoagulants : A Concise Guide</t>
  </si>
  <si>
    <t>Sago Palm : Multiple Contributions to Food Security and Sustainable Livelihoods</t>
  </si>
  <si>
    <t>Agenda-Setting Zwischen Parlament und Medien : Normative Herleitung und Empirische Untersuchung Am Beispiel der Schweiz</t>
  </si>
  <si>
    <t>Understanding the Bigger Energy Picture : DESERTEC and Beyond</t>
  </si>
  <si>
    <t>Sexual Reproduction in Animals and Plants</t>
  </si>
  <si>
    <t>X-Ray Contrast Media : Overview, Use and Pharmaceutical Aspects</t>
  </si>
  <si>
    <t>Protocols for Pre-Field Screening of Mutants for Salt Tolerance in Rice, Wheat and Barley</t>
  </si>
  <si>
    <t>Building the Foundation: Whole Numbers in the Primary Grades : The 23rd ICMI Study</t>
  </si>
  <si>
    <t>Vergleichsweise Menschlich? : Ambulante Sanktionen Als Alternative Zur Freiheitsentziehung Aus Europäischer Perspektive</t>
  </si>
  <si>
    <t>Poverty Reduction Policies and Practices in Developing Asia</t>
  </si>
  <si>
    <t>The Philosophy of Mathematics Education</t>
  </si>
  <si>
    <t>Pflegeroboter</t>
  </si>
  <si>
    <t>Advancing Energy Policy : Lessons on the Integration of Social Sciences and Humanities</t>
  </si>
  <si>
    <t>Teaching Tolerance in a Globalized World</t>
  </si>
  <si>
    <t>Agricultural Implications of the Fukushima Nuclear Accident : The First Three Years</t>
  </si>
  <si>
    <t>Intel Trusted Execution Technology for Server Platforms : A Guide to More Secure Datacenters</t>
  </si>
  <si>
    <t>Deutsch Als Zweitsprache: Alphabetisierung Für Jugendliche und Junge Erwachsene</t>
  </si>
  <si>
    <t>Digitale Transformation und Unternehmensführung : Trends und Perspektiven Für Die Praxis</t>
  </si>
  <si>
    <t>Wie Ticken Jugendliche 2016? : Lebenswelten Von Jugendlichen Im Alter Von 14 Bis 17 Jahren in Deutschland</t>
  </si>
  <si>
    <t>Wetlands and Water Framework Directive : Protection, Management and Climate Change</t>
  </si>
  <si>
    <t>A Practical Guide to TPM 2. 0 : Using the Trusted Platform Module in the New Age of Security</t>
  </si>
  <si>
    <t>China's Gas Development Strategies</t>
  </si>
  <si>
    <t>Improving Psychiatric Care for Older People : Barbara Robb's Campaign 1965-1975</t>
  </si>
  <si>
    <t>Microfinance 3. 0 : Reconciling Sustainability with Social Outreach and Responsible Delivery</t>
  </si>
  <si>
    <t>Habitats and Biota of the Gulf of Mexico: Before the Deepwater Horizon Oil Spill : Volume 1: Water Quality, Sediments, Sediment Contaminants, Oil and Gas Seeps, Coastal Habitats, Offshore Plankton and Benthos, and Shellfish</t>
  </si>
  <si>
    <t>Information Infrastructures Within European Health Care : Working with the Installed Base</t>
  </si>
  <si>
    <t>Kommunikation und Bildverarbeitung in der Automation : Ausgewählte Beiträge der Jahreskolloquien KommA und BVAu 2018</t>
  </si>
  <si>
    <t>The Illusion of Risk Control : What Does It Take to Live with Uncertainty?</t>
  </si>
  <si>
    <t>Snow Sports Trauma and Safety : Conference Proceedings of the International Society for Skiing Safety: 21st Volume</t>
  </si>
  <si>
    <t>Engineering a Better Future : Interplay Between Engineering, Social Sciences, and Innovation</t>
  </si>
  <si>
    <t>Development Policies and Policy Processes in Africa : Modeling and Evaluation</t>
  </si>
  <si>
    <t>Learn BlackBerry 10 App Development : A Cascades-Driven Approach</t>
  </si>
  <si>
    <t>Greening the Financial Sector : How to Mainstream Environmental Finance in Developing Countries</t>
  </si>
  <si>
    <t>Perspectives on European Earthquake Engineering and Seismology : Volume 1</t>
  </si>
  <si>
    <t>European Somalis' Post-Migration Movements : Mobility Capital and the Transnationalisation of Resources</t>
  </si>
  <si>
    <t>Enabling Things to Talk : Designing IoT Solutions with the IoT Architectural Reference Model</t>
  </si>
  <si>
    <t>Pflege-Report 2018 : Qualität in der Pflege</t>
  </si>
  <si>
    <t>Responsive Open Learning Environments : Outcomes of Research from the ROLE Project</t>
  </si>
  <si>
    <t>Collaborating Against Child Abuse : Exploring the Nordic Barnahus Model</t>
  </si>
  <si>
    <t>Finance for Food : Towards New Agricultural and Rural Finance</t>
  </si>
  <si>
    <t>Nachhaltigkeit in Umwelt, Wirtschaft und Gesellschaft : Interdisziplinäre Perspektiven</t>
  </si>
  <si>
    <t>Paris Climate Agreement: Beacon of Hope</t>
  </si>
  <si>
    <t>Advances in Discrete Differential Geometry</t>
  </si>
  <si>
    <t>The Onlife Manifesto : Being Human in a Hyperconnected Era</t>
  </si>
  <si>
    <t>Uses of Technology in Lower Secondary Mathematics Education : A Concise Topical Survey</t>
  </si>
  <si>
    <t>R. J. Rummel: an Assessment of His Many Contributions</t>
  </si>
  <si>
    <t>Investigations into the Phenomenology and the Ontology of the Work of Art : What Are Artworks and How Do We Experience Them?</t>
  </si>
  <si>
    <t>Outsourcing Legal Aid in the Nordic Welfare States</t>
  </si>
  <si>
    <t>Future Skills : Lernen der Zukunft - Hochschule der Zukunft</t>
  </si>
  <si>
    <t>The Future Internet : Future Internet Assembly 2012: from Promises to Reality</t>
  </si>
  <si>
    <t>Iutam : A Short History</t>
  </si>
  <si>
    <t>Applying the Kaizen in Africa : A New Avenue for Industrial Development</t>
  </si>
  <si>
    <t>Efficient Learning Machines : Theories, Concepts, and Applications for Engineers and System Designers</t>
  </si>
  <si>
    <t>S-BPM in the Wild : Practical Value Creation</t>
  </si>
  <si>
    <t>Animals and the Shaping of Modern Medicine : One Health and Its Histories</t>
  </si>
  <si>
    <t>Synchronized Factories : Latin America and the Caribbean in the Era of Global Value Chains</t>
  </si>
  <si>
    <t>Platform Embedded Security Technology Revealed : Safeguarding the Future of Computing with Intel Embedded Security and Management Engine</t>
  </si>
  <si>
    <t>Connecting Mathematics and Mathematics Education : Collected Papers on Mathematics Education As a Design Science</t>
  </si>
  <si>
    <t>The Globalization of Science Curricula</t>
  </si>
  <si>
    <t>Altern Im Wandel : Zwei Jahrzehnte Deutscher Alterssurvey (DEAS)</t>
  </si>
  <si>
    <t>Hormones, Metabolism and the Benefits of Exercise</t>
  </si>
  <si>
    <t>Mercury Pollution in Minamata</t>
  </si>
  <si>
    <t>Urbanization, Biodiversity and Ecosystem Services: Challenges and Opportunities : A Global Assessment</t>
  </si>
  <si>
    <t>Bildungsverläufe Von der Einschulung Bis in Den Ersten Arbeitsmarkt : Theoretische Ansätze, Empirische Befunde und Beispiele</t>
  </si>
  <si>
    <t>Belly-Rippers, Surgical Innovation and the Ovariotomy Controversy</t>
  </si>
  <si>
    <t>Assessment in Mathematics Education : Large-Scale Assessment and Classroom Assessment</t>
  </si>
  <si>
    <t>Human Rights in Child Protection : Implications for Professional Practice and Policy</t>
  </si>
  <si>
    <t>Ganzheitliche Digitalisierung Von Prozessen : Perspektivenwechsel - Design Thinking - Wertegeleitete Interaktion</t>
  </si>
  <si>
    <t>Empirical Research in Statistics Education</t>
  </si>
  <si>
    <t>Impact of Information Society Research in the Global South</t>
  </si>
  <si>
    <t>Optimizing HPC Applications with Intel Cluster Tools : Hunting Petaflops</t>
  </si>
  <si>
    <t>The Future of the Bamiyan Buddha Statues : Heritage Reconstruction in Theory and Practice</t>
  </si>
  <si>
    <t>Taking Stock of Industrial Ecology</t>
  </si>
  <si>
    <t>Soziale Netzwerke und Gesundheitliche Ungleichheiten : Eine Neue Perspektive Für Die Forschung</t>
  </si>
  <si>
    <t>Managing Protected Areas in Central and Eastern Europe under Climate Change</t>
  </si>
  <si>
    <t>Sustainable Land Use and Rural Development in Southeast Asia: Innovations and Policies for Mountainous Areas</t>
  </si>
  <si>
    <t>Contemporary Turkey at a Glance : Interdisciplinary Perspectives on Local and Translocal Dynamics</t>
  </si>
  <si>
    <t>Research on Teaching and Learning Probability</t>
  </si>
  <si>
    <t>Interface Oral Health Science 2014 : Innovative Research on Biosis-Abiosis Intelligent Interface</t>
  </si>
  <si>
    <t>Ester Boserup's Legacy on Sustainability : Orientations for Contemporary Research</t>
  </si>
  <si>
    <t>Beyond the Limits to Growth : New Ideas for Sustainability from Japan</t>
  </si>
  <si>
    <t>Problem Solving in Mathematics Education</t>
  </si>
  <si>
    <t>Klimawandel in Deutschland : Entwicklung, Folgen, Risiken und Perspektiven</t>
  </si>
  <si>
    <t>Fulfilling the Promise of Technology Transfer : Fostering Innovation for the Benefit of Society</t>
  </si>
  <si>
    <t>The Ethics of Medical Data Donation</t>
  </si>
  <si>
    <t>Die Finanzkrise 2008 Im Unbewussten : Über Die Ökonomie des Seelenlebens in Zeiten der Krise</t>
  </si>
  <si>
    <t>Bordieuan Field Theory As an Instrument for Military Operational Analysis</t>
  </si>
  <si>
    <t>Agential Realism Als Basis Queer(end)er Experimentalpsychologie : Eine Wissenschaftstheoretische Auseinandersetzung</t>
  </si>
  <si>
    <t>Preparing for Life in a Digital Age : The IEA International Computer and Information Literacy Study International Report</t>
  </si>
  <si>
    <t>Knowledge and Networks</t>
  </si>
  <si>
    <t>Healthcare, Frugal Innovation, and Professional Voluntarism : A Cost-Benefit Analysis</t>
  </si>
  <si>
    <t>Cognitive Supervision for Robot-Assisted Minimally Invasive Laser Surgery</t>
  </si>
  <si>
    <t>Pentecostalism and Witchcraft : Spiritual Warfare in Africa and Melanesia</t>
  </si>
  <si>
    <t>S-BPM Illustrated : A Storybook about Business Process Modeling and Execution</t>
  </si>
  <si>
    <t>Dependable Embedded Systems</t>
  </si>
  <si>
    <t>Earthquakes, Tsunamis and Nuclear Risks : Prediction and Assessment Beyond the Fukushima Accident</t>
  </si>
  <si>
    <t>AiREAS: Sustainocracy for a Healthy City : The Invisible Made Visible Phase 1</t>
  </si>
  <si>
    <t>Africa-Europe Research and Innovation Cooperation : Global Challenges, Bi-Regional Responses</t>
  </si>
  <si>
    <t>Freshwater Governance for the 21st Century</t>
  </si>
  <si>
    <t>Russia's Turn to the East : Domestic Policymaking and Regional Cooperation</t>
  </si>
  <si>
    <t>Atlas of Challenges and Opportunities in European Neighbourhoods</t>
  </si>
  <si>
    <t>Earth Observation Open Science and Innovation</t>
  </si>
  <si>
    <t>Proceedings of the Scientific-Practical Conference Research and Development - 2016</t>
  </si>
  <si>
    <t>Current and Future Perspectives of Ethnomathematics As a Program</t>
  </si>
  <si>
    <t>High Density Lipoproteins : From Biological Understanding to Clinical Exploitation</t>
  </si>
  <si>
    <t>AiREAS: Sustainocracy for a Healthy City : Phase 3: Civilian Participation - Including the Global Health Deal Proposition</t>
  </si>
  <si>
    <t>New Horizons for Asian Museums and Museology</t>
  </si>
  <si>
    <t>Solving the Powertrain Puzzle : 10th Schaeffler Symposium April 3/4 2014</t>
  </si>
  <si>
    <t>Proceedings of the International Conference on Social Modeling and Simulation, Plus Econophysics Colloquium 2014</t>
  </si>
  <si>
    <t>Global Perspectives on Recognising Non-Formal and Informal Learning : Why Recognition Matters</t>
  </si>
  <si>
    <t>A Fair Share of Tax : A Fiscal Anthropology of Contemporary Sweden</t>
  </si>
  <si>
    <t>Zukunft der Arbeit in Industrie 4. 0</t>
  </si>
  <si>
    <t>Evolution, Monitoring and Predicting Models of Rockburst : Precursor Information for Rock Failure</t>
  </si>
  <si>
    <t>Ein Neuer Gesellschaftsvertrag Für eine Nachhaltige Landwirtschaft : Wege Zu Einer Integrativen Politik Für Den Agrarsektor</t>
  </si>
  <si>
    <t>Model-Based Demography : Essays on Integrating Data, Technique and Theory</t>
  </si>
  <si>
    <t>Krankenhaus-Report 2020 : Finanzierung und Vergütung Am Scheideweg</t>
  </si>
  <si>
    <t>Sequence Analysis and Related Approaches : Innovative Methods and Applications</t>
  </si>
  <si>
    <t>New Frontiers in Social Innovation Research</t>
  </si>
  <si>
    <t>Stoßprobleme in Physik, Technik und Medizin : Grundlagen und Anwendungen</t>
  </si>
  <si>
    <t>Advancing Culture of Living with Landslides : Volume 1 ISDR-ICL Sendai Partnerships 2015-2025</t>
  </si>
  <si>
    <t>Digitalisierung : Bildung, Technik, Innovation</t>
  </si>
  <si>
    <t>System-Aufstellungen und Ihre Naturwissenschaftliche Begründung : Grundlage Für eine Innovative Methode Zur Entscheidungsfindung in der Unternehmensführung</t>
  </si>
  <si>
    <t>Diversity and Evolution of Butterfly Wing Patterns : An Integrative Approach</t>
  </si>
  <si>
    <t>Messung Von Ressourceneffizienz Mit der ESSENZ-Methode : Integrierte Methode Zur Ganzheitlichen Bewertung</t>
  </si>
  <si>
    <t>Stochastics of Environmental and Financial Economics : Centre of Advanced Study, Oslo, Norway, 2014-2015</t>
  </si>
  <si>
    <t>Marginality : Addressing the Nexus of Poverty, Exclusion and Ecology</t>
  </si>
  <si>
    <t>Global History and New Polycentric Approaches : Europe, Asia and the Americas in a World Network System</t>
  </si>
  <si>
    <t>Brain and Human Body Modeling 2020 : Computational Human Models Presented at EMBC 2019 and the BRAIN Initiative® 2019 Meeting</t>
  </si>
  <si>
    <t>Internal Crowdsourcing in Companies : Theoretical Foundations and Practical Applications</t>
  </si>
  <si>
    <t>Bird Species : How They Arise, Modify and Vanish</t>
  </si>
  <si>
    <t>Uses of Technology in Upper Secondary Mathematics Education</t>
  </si>
  <si>
    <t>The Impact of Food Bioactives on Health : In Vitro and Ex Vivo Models</t>
  </si>
  <si>
    <t>The Future Internet : Future Internet Assembly 2011: Achievements and Technological Promises</t>
  </si>
  <si>
    <t>Hamburger Klimabericht - Wissen über Klima, Klimawandel und Auswirkungen in Hamburg und Norddeutschland</t>
  </si>
  <si>
    <t>Autonome Shuttlebusse Im ÖPNV : Analysen und Bewertungen Zum Fallbeispiel Bad Birnbach Aus Technischer, Gesellschaftlicher und Planerischer Sicht</t>
  </si>
  <si>
    <t>Intel Galileo and Intel Galileo Gen 2 : API Features and Arduino Projects for Linux Programmers</t>
  </si>
  <si>
    <t>Transparenz öffentlicher Einkaufsdaten in Deutschland : Anforderungen und Handlungsfelder Im Kontext Von Open Government</t>
  </si>
  <si>
    <t>Error-Correction Coding and Decoding : Bounds, Codes, Decoders, Analysis and Applications</t>
  </si>
  <si>
    <t>Public Health Ethics: Cases Spanning the Globe</t>
  </si>
  <si>
    <t>Bridging Educational Leadership, Curriculum Theory and Didaktik : Non-Affirmative Theory of Education</t>
  </si>
  <si>
    <t>Governance for Drought Resilience : Land and Water Drought Management in Europe</t>
  </si>
  <si>
    <t>Energy Poverty : (Dis)Assembling Europe's Infrastructural Divide</t>
  </si>
  <si>
    <t>Literary Translation in Periodicals : Methodological Challenges for a Transnational Approach</t>
  </si>
  <si>
    <t>International Perspectives in Values-Based Mental Health Practice : Case Studies and Commentaries</t>
  </si>
  <si>
    <t>The Visigothic Kingdom : The Negotiation of Power in Post-Roman Lberia</t>
  </si>
  <si>
    <t>Writing Manuals for the Masses : The Rise of the Literary Advice Industry from Quill to Keyboard</t>
  </si>
  <si>
    <t>One Hundred Years of Social Protection : The Changing Social Question in Brazil, India, China, and South Africa</t>
  </si>
  <si>
    <t>Design Ethnography : Epistemology and Methodology</t>
  </si>
  <si>
    <t>P. Y. Galperin's Development of Human Mental Activity : Lectures in Educational Psychology</t>
  </si>
  <si>
    <t>Contemporary Family Lifestyles in Central and Western Europe : Selected Cases</t>
  </si>
  <si>
    <t>Improving Potassium Recommendations for Agricultural Crops</t>
  </si>
  <si>
    <t>Model-Based Engineering of Collaborative Embedded Systems : Extensions of the SPES Methodology</t>
  </si>
  <si>
    <t>Soziale Arbeit und Sucht : Eine Bestandesaufnahme Aus der Praxis</t>
  </si>
  <si>
    <t>Perceptions of the Independence of Judges in Europe : Congruence of Society and Judiciary</t>
  </si>
  <si>
    <t>The Palgrave Handbook of Digital Russia Studies</t>
  </si>
  <si>
    <t>The Palgrave Handbook of Family Policy</t>
  </si>
  <si>
    <t>What Works in Conservation 2020</t>
  </si>
  <si>
    <t>Terrestrial Mammal Conservation : Global Evidence for the Effects of Interventions for Terrestrial Mammals Excluding Bats and Primates</t>
  </si>
  <si>
    <t>Mendl Mann's 'the Fall of Berlin'</t>
  </si>
  <si>
    <t>Global Warming in Local Discourses : How Communities Around the World Make Sense of Climate Change</t>
  </si>
  <si>
    <t>Die Phonetik Von äh Und ähm : Akustische Variation Von Füllpartikeln Im Deutschen</t>
  </si>
  <si>
    <t>2050 China : Becoming a Great Modern Socialist Country</t>
  </si>
  <si>
    <t>Interacting with biological membranes using organic electronic devices</t>
  </si>
  <si>
    <t>Vulnerability and Risk Analysis Methods and Application in Large Scale Development of Secure Systems</t>
  </si>
  <si>
    <t>Adoptive families' return trips to the children’s birth countries</t>
  </si>
  <si>
    <t>Bystander behaviors in peer victimization : Associations with moral disengagement, efficacy beliefs, and student-teacher relationship quality</t>
  </si>
  <si>
    <t>Exercise training and testing in patients with heart failure</t>
  </si>
  <si>
    <t>Delaktighet och IKT : Elever i behov av stöd i gymnasieskolan</t>
  </si>
  <si>
    <t>On the other side of change : Exploring the role that design can play in retaining sustainable doings</t>
  </si>
  <si>
    <t>Machine Learning for Cyber Physical Systems : Selected Papers from the International Conference ML4CPS 2020</t>
  </si>
  <si>
    <t>Projekt- und Teamarbeit in der Digitalisierten Arbeitswelt : Herausforderungen, Strategien und Empfehlungen</t>
  </si>
  <si>
    <t>Von Bauingenieurinnen und Sozialarbeitern : Studien(fach)wahlen Im Kontext Von Sozialem Milieu und Geschlecht</t>
  </si>
  <si>
    <t>Ensamhet och döende som samhällsfrågor i Sverige</t>
  </si>
  <si>
    <t>Simulation Modelling of a Shift to Service-Based Offerings : Resource efficiency and operational implications in the context of the circular economy</t>
  </si>
  <si>
    <t>Point of Reckoning : The Fight for Racial Justice at Duke University</t>
  </si>
  <si>
    <t>Next Generation Supply Chains : A Roadmap for Research and Innovation</t>
  </si>
  <si>
    <t>World Class Universities : A Contested Concept</t>
  </si>
  <si>
    <t>Safety for Particle Accelerators</t>
  </si>
  <si>
    <t>Internationale Zielmarktanalyse und Vertriebsentwicklung : Die Implementierung der Methodik des International Sales Accelerator Modells</t>
  </si>
  <si>
    <t>The Evolutionary Dynamics of Discursive Knowledge : Communication-Theoretical Perspectives on an Empirical Philosophy of Science</t>
  </si>
  <si>
    <t>Toward ICT-enabled Co-production for Effective Crisis and Emergency Response</t>
  </si>
  <si>
    <t>Babies’ engagements with everyday things : An ethnographic study of materiality, movement and participation</t>
  </si>
  <si>
    <t>Enspråkig policy, tvåspråkig interaktion : Engelskspråkig utbildning i Bangladesh</t>
  </si>
  <si>
    <t>Skills in Rheumatology</t>
  </si>
  <si>
    <t>Digital Transformation of Learning Organizations</t>
  </si>
  <si>
    <t>Defending Checks and Balances in EU Member States : Taking Stock of Europe's Actions</t>
  </si>
  <si>
    <t>GDPR and Biobanking : Individual Rights, Public Interest and Research Regulation Across Europe</t>
  </si>
  <si>
    <t>The Japanese Banking Crisis</t>
  </si>
  <si>
    <t>Parenting and Work in Poland : A Gender Studies Perspective</t>
  </si>
  <si>
    <t>Experimenterande för förändring? : Politiken kring att åstadkomma miljöstyrning genom smarta nät-pilotprojekt</t>
  </si>
  <si>
    <t>Patients with subacromial pain in primary care : Assessment and efficacy of physiotherapy-guided exercise treatment</t>
  </si>
  <si>
    <t>Enhancing Smallholder Farmers' Access to Seed of Improved Legume Varieties Through Multi-Stakeholder Platforms : Learning from the TLIII Project Experiences in Sub-Saharan Africa and South Asia</t>
  </si>
  <si>
    <t>The Science of Citizen Science</t>
  </si>
  <si>
    <t>Howard Jacobson</t>
  </si>
  <si>
    <t>Organic Creativity and the Physics Within</t>
  </si>
  <si>
    <t>The Image of Africa in Ghana's Press : The Influence of Global News Organisations</t>
  </si>
  <si>
    <t>Photography in the Third Reich : Art, Physiognomy and Propaganda</t>
  </si>
  <si>
    <t>Information and Communication Technologies in Tourism 2021 : Proceedings of the ENTER 2021 ETourism Conference, January 19-22 2021</t>
  </si>
  <si>
    <t>Clinical Pathways in Stroke Rehabilitation : Evidence-Based Clinical Practice Recommendations</t>
  </si>
  <si>
    <t>Security of Ubiquitous Computing Systems : Selected Topics</t>
  </si>
  <si>
    <t>Knowledge for Governance</t>
  </si>
  <si>
    <t>Textbook of Patient Safety and Clinical Risk Management</t>
  </si>
  <si>
    <t>Emancipation's Daughters : Reimagining Black Femininity and the National Body</t>
  </si>
  <si>
    <t>Analysis and Optimization for Robust Millimeter-Wave Communications</t>
  </si>
  <si>
    <t>Treatment Planning of High Dose-Rate Brachytherapy - Mathematical Modelling and Optimization</t>
  </si>
  <si>
    <t>Cyber Security : 17th China Annual Conference, CNCERT 2020, Beijing, China, August 12, 2020, Revised Selected Papers</t>
  </si>
  <si>
    <t>Building Better Interfaces for Remote Autonomous Systems : An Introduction for Systems Engineers</t>
  </si>
  <si>
    <t>Climate Risk in Africa : Adaptation and Resilience</t>
  </si>
  <si>
    <t>Swiss Democracy : Possible Solutions to Conflict in Multicultural Societies</t>
  </si>
  <si>
    <t>Zusammenwirken Von Natürlicher und Künstlicher Intelligenz</t>
  </si>
  <si>
    <t>Equity, Equality and Diversity in the Nordic Model of Education</t>
  </si>
  <si>
    <t>Doktor Faustus (ver-)stimmen : Kompositionen Zu Thomas Manns Roman</t>
  </si>
  <si>
    <t>Professoren Mit Migrationshintergrund : Benachteiligte Minderheit Oder Protagonisten Internationaler Exzellenz</t>
  </si>
  <si>
    <t>Expatriates und Freiwilliges Engagement in der Schweiz : Eine Qualitative Analyse Im Kanton Zug</t>
  </si>
  <si>
    <t>Learning from Experience : The Use of Structured Video-Assisted Debriefing Among Nursing Students</t>
  </si>
  <si>
    <t>Wireless Bioelectronic Devices Driven by Deep Red Light</t>
  </si>
  <si>
    <t>Att se in i framtiden : Hur avancerade statistiska metoder kan användas för att predicera psykoterapiutfall inom rutinmässig vård</t>
  </si>
  <si>
    <t>Synthesis and Characterization of Transition Metal Diborides</t>
  </si>
  <si>
    <t>Surgery and stomas in Crohn's disease</t>
  </si>
  <si>
    <t>On Knowledge Creation and Learning at the Intersection of Product Development and Engineering Education</t>
  </si>
  <si>
    <t>The Marvels Found in the Great Cities and in the Seas and on the Islands : A Representative of 'aǧā'ib Literature in Syriac</t>
  </si>
  <si>
    <t>'the Philosophes' by Charles Palissot</t>
  </si>
  <si>
    <t>Studies in the Grammar and Lexicon of Neo-Aramaic</t>
  </si>
  <si>
    <t>Acoustemologies in Contact : Sounding Subjects and Modes of Listening in Early Modernity</t>
  </si>
  <si>
    <t>Embedded System Design : Embedded Systems Foundations of Cyber-Physical Systems, and the Internet of Things</t>
  </si>
  <si>
    <t>New Living Cases on Corporate Governance</t>
  </si>
  <si>
    <t>Proceedings of the 2020 DigitalFUTURES : The 2nd International Conference on Computational Design and Robotic Fabrication (CDRF 2020)</t>
  </si>
  <si>
    <t>The Leading World's Most Innovative Universities</t>
  </si>
  <si>
    <t>Public Administration in Germany</t>
  </si>
  <si>
    <t>The Seine River Basin</t>
  </si>
  <si>
    <t>Measuring Emission of Agricultural Greenhouse Gases and Developing Mitigation Options Using Nuclear and Related Techniques : Applications of Nuclear Techniques for GHGs</t>
  </si>
  <si>
    <t>Decision Science for Future Earth : Theory and Practice</t>
  </si>
  <si>
    <t>Making science come alive : Student-generated stop-motion animations in science education</t>
  </si>
  <si>
    <t>Mechanical Properties of Arteries : An &lt;em&gt;In Vivo&lt;/em&gt; Parameter Identification Method</t>
  </si>
  <si>
    <t>Frontiers of Real Estate Science in Japan</t>
  </si>
  <si>
    <t>Invasive Species in Forests and Rangelands of the United States : A Comprehensive Science Synthesis for the United States Forest Sector</t>
  </si>
  <si>
    <t>Maternal overweight and obesity : impact on obstetric outcomes in adolescents and oxytocin in labor</t>
  </si>
  <si>
    <t>Testosterone Use and Abuse : Methodological Aspects in Forensic Toxicology and Clinical Diagnostics</t>
  </si>
  <si>
    <t>Physical Disability and Sexuality : Stories from South Africa</t>
  </si>
  <si>
    <t>Die Wirtschaft Im Wandel : Innovation, Soziale Sicherheit, und Wohlfahrt</t>
  </si>
  <si>
    <t>Smart and Sustainable Planning for Cities and Regions : Results of SSPCR 2019--Open Access Contributions</t>
  </si>
  <si>
    <t>Jane Austen : Reflections of a Reader</t>
  </si>
  <si>
    <t>Social and Economic Vulnerability of Roma People : Key Factors for the Success and Continuity of Schooling Levels</t>
  </si>
  <si>
    <t>The Future of Service Post-COVID-19 Pandemic, Volume 1 : Rapid Adoption of Digital Service Technology</t>
  </si>
  <si>
    <t>Mnemonic Solidarity : Global Interventions</t>
  </si>
  <si>
    <t>Öffentliche Mobilität : Voraussetzungen Für eine Menschengerechte Verkehrsplanung</t>
  </si>
  <si>
    <t>Anisotropy Across Fields and Scales</t>
  </si>
  <si>
    <t>Robotics, AI, and Humanity : Science, Ethics, and Policy</t>
  </si>
  <si>
    <t>Color Centers in Semiconductors for Quantum Applications : A High-Throughput Search of Point Defects in SiC</t>
  </si>
  <si>
    <t>Fiktion genom två medier : En studie om gymnasieelevers menings-skapande utifrån Hjalmar Söderbergs novell "Pälsen" och dess adaption till film</t>
  </si>
  <si>
    <t>Lifestyle in Siberia and the Russian North</t>
  </si>
  <si>
    <t>Decolonising Blue Spaces in the Anthropocene : Freshwater Management in Aotearoa New Zealand</t>
  </si>
  <si>
    <t>Oral and Maxillofacial Surgery for the Clinician</t>
  </si>
  <si>
    <t>A Buddhist Approach to International Relations : Radical Interdependence</t>
  </si>
  <si>
    <t>Quality Management and Accreditation in Hematopoietic Stem Cell Transplantation and Cellular Therapy : The JACIE Guide</t>
  </si>
  <si>
    <t>Crossing the threshold : Visualization design and conceptual understanding of evolution</t>
  </si>
  <si>
    <t>Optics of Conducting Polymer Thin Films and Nanostructures</t>
  </si>
  <si>
    <t>Okända Vatten : Analys av desinfektionsbiprodukter i dricksvatten</t>
  </si>
  <si>
    <t>Das ökonomische Laboratop : Eine Soziologische Ethnographie des Wirtschaftswissenschaftlichen Experimentierens</t>
  </si>
  <si>
    <t>Like Nobody's Business : An Insider's Guide to How US University Finances Really Work</t>
  </si>
  <si>
    <t>The Future European Energy System : Renewable Energy, Flexibility Options and Technological Progress</t>
  </si>
  <si>
    <t>Death Rights : Romantic Suicide, Race, and the Bounds of Liberalism</t>
  </si>
  <si>
    <t>Just know it : The role of explicit knowledge in internet-based cognitive behaviour therapy for adolescents</t>
  </si>
  <si>
    <t>It’s About Time : User-centered Evaluation of Visual Representations for Temporal Data</t>
  </si>
  <si>
    <t>Assessments and Risk Factors for Falls in Persons with Acute Stroke</t>
  </si>
  <si>
    <t>Boundary Value Problems for Nonlinear Elliptic Equations in Divergence Form</t>
  </si>
  <si>
    <t>Reading Prehistoric Human Tracks : Methods and Material</t>
  </si>
  <si>
    <t>What Is Authorial Philology?</t>
  </si>
  <si>
    <t>Social Work, Sociometry, and Psychodrama : Experiential Approaches for Group Therapists, Community Leaders, and Social Workers</t>
  </si>
  <si>
    <t>Arbeit in der Digitalisierten Welt : Praxisbeispiele und Gestaltungslösungen Aus Dem BMBF-Förderschwerpunkt</t>
  </si>
  <si>
    <t>Special Topics in Information Technology</t>
  </si>
  <si>
    <t>Pattern Recognition, Tracking and Vertex Reconstruction in Particle Detectors</t>
  </si>
  <si>
    <t>Northern Lights on Civic and Citizenship Education : A Cross-National Comparison of Nordic Data from ICCS</t>
  </si>
  <si>
    <t>The Other/Argentina : Jews, Gender, and Sexuality in the Making of a Modern Nation</t>
  </si>
  <si>
    <t>The Data Shake : Opportunities and Obstacles for Urban Policy Making</t>
  </si>
  <si>
    <t>Public Actors in International Investment Law</t>
  </si>
  <si>
    <t>Von Alternativen Paradigmen Zur Umfassenden Transformation : Analyse Transformativer Forschungsprojekte Anhand des Diskursiven Institutionalismus</t>
  </si>
  <si>
    <t>Solar Energetic Particles : A Modern Primer on Understanding Sources, Acceleration and Propagation</t>
  </si>
  <si>
    <t>Recovering Civility During COVID-19</t>
  </si>
  <si>
    <t>Digital Business : Analysen und Handlungsfelder in der Praxis</t>
  </si>
  <si>
    <t>Das Internet der Dinge Für Bildung Nutzbar Machen : Gestaltung Von Smart Learning Environments Auf Basis Eines Interdisziplinären Diskurses</t>
  </si>
  <si>
    <t>Revitalizing Indian Agriculture and Boosting Farmer Incomes</t>
  </si>
  <si>
    <t>Insurance Distribution Directive : A Legal Analysis</t>
  </si>
  <si>
    <t>Wechselwirkungen Zwischen Landnutzung und Klimawandel</t>
  </si>
  <si>
    <t>Innovative Learning Environments in STEM Higher Education : Opportunities, Challenges, and Looking Forward</t>
  </si>
  <si>
    <t>70 Years of Levothyroxine</t>
  </si>
  <si>
    <t>Health Promotion in Health Care - Vital Theories and Research</t>
  </si>
  <si>
    <t>Indikatoren Für Die Messung Von Forschung, Entwicklung und Innovation : Steckbriefe Mit Hinweisen Zur Anwendung</t>
  </si>
  <si>
    <t>Digital servitization : Organizing the firm and working with the ecosystem</t>
  </si>
  <si>
    <t>Aesthetic Flexibility : In Industrial Design Practice</t>
  </si>
  <si>
    <t>Graph Structures for Knowledge Representation and Reasoning : 6th International Workshop, GKR 2020, Virtual Event, September 5, 2020, Revised Selected Papers</t>
  </si>
  <si>
    <t>Euthanasia: Searching for the Full Story : Experiences and Insights of Belgian Doctors and Nurses</t>
  </si>
  <si>
    <t>Artificial Intelligence for a Better Future : An Ecosystem Perspective on the Ethics of AI and Emerging Digital Technologies</t>
  </si>
  <si>
    <t>Romanticism and Time : Literary Temporalities</t>
  </si>
  <si>
    <t>Arab Media Systems</t>
  </si>
  <si>
    <t>Tools and Algorithms for the Construction and Analysis of Systems : 27th International Conference, TACAS 2021, Held As Part of the European Joint Conferences on Theory and Practice of Software, ETAPS 2021, Luxembourg City, Luxembourg, March 27 - April 1, 2021, Proceedings, Part I</t>
  </si>
  <si>
    <t>The Politics of Diversity in Music Education</t>
  </si>
  <si>
    <t>Trauma and Resilience among Displaced Populations : A Sociocultural Exploration</t>
  </si>
  <si>
    <t>Fundamental Approaches to Software Engineering : 24th International Conference, FASE 2021, Held As Part of the European Joint Conferences on Theory and Practice of Software, ETAPS 2021, Luxembourg City, Luxembourg, March 27 - April 1, 2021, Proceedings</t>
  </si>
  <si>
    <t>Cultural Governance : Legitimation und Steuerung in Den Darstellenden Künsten</t>
  </si>
  <si>
    <t>Accelerating Digitalization : Chancen der Digitalisierung Erkennen und Nutzen</t>
  </si>
  <si>
    <t>Exploiting Direct Optimal Control for Motion Planning in Unstructured Environments</t>
  </si>
  <si>
    <t>Parameterized Verification of Synchronized Concurrent Programs</t>
  </si>
  <si>
    <t>Textbook on Scar Management : State of the Art Management and Emerging Technologies</t>
  </si>
  <si>
    <t>The Life and Afterlife of Gay Neighborhoods : Renaissance and Resurgence</t>
  </si>
  <si>
    <t>E-Science : Open, Social and Virtual Technology for Research Collaboration</t>
  </si>
  <si>
    <t>The New Common : How the COVID-19 Pandemic Is Transforming Society</t>
  </si>
  <si>
    <t>Accelerator-Driven System at Kyoto University Critical Assembly</t>
  </si>
  <si>
    <t>The Impact of Individual Expertise and Public Information on Group Decision-Making</t>
  </si>
  <si>
    <t>Global History with Chinese Characteristics : Autocratic States along the Silk Road in the Decline of the Spanish and Qing Empires 1680-1796</t>
  </si>
  <si>
    <t>Magnetism and Accelerator-Based Light Sources : Proceedings of the 7th International School ''Synchrotron Radiation and Magnetism'', Mittelwihr (France) 2018</t>
  </si>
  <si>
    <t>Berufliche Orientierung Zwischen Heterogenität und Individualisierung : Beschreibung, Messung und Konsequenzen Zur Individuellen Förderung in Schule</t>
  </si>
  <si>
    <t>Die Grenzen der EU : Europäische Integration, ,,Schengen und Die Kontrolle der Migration</t>
  </si>
  <si>
    <t>Data Technology in Materials Modelling</t>
  </si>
  <si>
    <t>Foundations of Software Science and Computation Structures : 24th International Conference, FOSSACS 2021, Held As Part of the European Joint Conferences on Theory and Practice of Software, ETAPS 2021, Luxembourg City, Luxembourg, March 27 - April 1, 2021, Proceedings</t>
  </si>
  <si>
    <t>Tools and Algorithms for the Construction and Analysis of Systems : 27th International Conference, TACAS 2021, Held As Part of the European Joint Conferences on Theory and Practice of Software, ETAPS 2021, Luxembourg City, Luxembourg, March 27 - April 1, 2021, Proceedings, Part II</t>
  </si>
  <si>
    <t>Community and Identity in Contemporary Technosciences</t>
  </si>
  <si>
    <t>Programming Languages and Systems : 30th European Symposium on Programming, ESOP 2021, Held As Part of the European Joint Conferences on Theory and Practice of Software, ETAPS 2021, Luxembourg City, Luxembourg, March 27 - April 1, 2021, Proceedings</t>
  </si>
  <si>
    <t>Open Skies : The National Radio Astronomy Observatory and Its Impact on US Radio Astronomy</t>
  </si>
  <si>
    <t>Quantum Computing for the Quantum Curious</t>
  </si>
  <si>
    <t>Introduction to Epigenetics</t>
  </si>
  <si>
    <t>Firm Competitive Advantage Through Relationship Management : A Theory for Successful Sustainable Growth</t>
  </si>
  <si>
    <t>Macht Arbeit Frei? : German Economic Policy and Forced Labor of Jews in the General Government, 1939-1943</t>
  </si>
  <si>
    <t>Gendered Violence : Jewish Women in the Pogroms of 1917 To 1921</t>
  </si>
  <si>
    <t>Gone to Pitchipoi : A Boy's Desperate Fight for Survival in Wartime</t>
  </si>
  <si>
    <t>Trajectory Planning for an Autonomous Vehicle in Multi-Vehicle Traffic Scenario</t>
  </si>
  <si>
    <t>Radioluminescence : A simple model for fluorescent layers - analysis and applications</t>
  </si>
  <si>
    <t>A good death from the perspective of patients with severe illness and advance care planning (ACP) in patients near end-of-life</t>
  </si>
  <si>
    <t>Krankenhaus-Report 2021 : Versorgungsketten - der Patient Im Mittelpunkt</t>
  </si>
  <si>
    <t>Accounting and Statistical Analyses for Sustainable Development : Multiple Perspectives and Information-Theoretic Complexity Reduction</t>
  </si>
  <si>
    <t>Urban Socio-Economic Segregation and Income Inequality : A Global Perspective</t>
  </si>
  <si>
    <t>The Fundamental Elements of Strategy : Concepts, Theories and Cases</t>
  </si>
  <si>
    <t>Arts and Health Promotion : Tools and Bridges for Practice, Research, and Social Transformation</t>
  </si>
  <si>
    <t>Entertainment-Education Behind the Scenes : Case Studies for Theory and Practice</t>
  </si>
  <si>
    <t>Towards a Natural Social Contract : Transformative Social-Ecological Innovation for a Sustainable, Healthy and Just Society</t>
  </si>
  <si>
    <t>Social Exclusion in Later Life : Interdisciplinary and Policy Perspectives</t>
  </si>
  <si>
    <t>Taxation, International Cooperation and the 2030 Sustainable Development Agenda</t>
  </si>
  <si>
    <t>Sprachliche Variationen Von Mathematischen Textaufgaben : Entwicklung Eines Instruments Zur Textanpassung Für Textaufgaben Im Mathematikunterricht</t>
  </si>
  <si>
    <t>Napoleonic Governance in the Netherlands and Northwest Germany : Conquest, Incorporation, and Integration</t>
  </si>
  <si>
    <t>Polarimetric Synthetic Aperture Radar : Principles and Application</t>
  </si>
  <si>
    <t>Dialogue for Intercultural Understanding : Placing Cultural Literacy at the Heart of Learning</t>
  </si>
  <si>
    <t>Der Deutschsprachige Nachkriegsroman und Die Tradition des Unzuverlässigen Erzählens</t>
  </si>
  <si>
    <t>GeomInt-Mechanical Integrity of Host Rocks</t>
  </si>
  <si>
    <t>Smart Technologies for Precision Assembly : 9th IFIP WG 5. 5 International Precision Assembly Seminar, IPAS 2020, Virtual Event, December 14-15, 2020, Revised Selected Papers</t>
  </si>
  <si>
    <t>Envisioning Socialism : Television and the Cold War in the German Democratic Republic</t>
  </si>
  <si>
    <t>Bluestocking Feminism and British-German Cultural Transfer, 1750-1837</t>
  </si>
  <si>
    <t>Internationalizing International Communication</t>
  </si>
  <si>
    <t>Gemensamma mekanismer för alkohol- och ångestrelaterade beteenden studerade i djurmodeller</t>
  </si>
  <si>
    <t>The Media Welfare State : Nordic Media in the Digital Era</t>
  </si>
  <si>
    <t>Play Redux : The Form of Computer Games</t>
  </si>
  <si>
    <t>Doom : Scarydarkfast</t>
  </si>
  <si>
    <t>Framed : The New Woman Criminal in British Culture at the Fin de Siecle</t>
  </si>
  <si>
    <t>Wiki Writing : Collaborative Learning in the College Classroom</t>
  </si>
  <si>
    <t>Kinship and History in South Asia : Four Lectures</t>
  </si>
  <si>
    <t>University of Michigan, Center for South &amp; Southeast Asian Studies</t>
  </si>
  <si>
    <t>The Cultural Revolution : 1967 in Review</t>
  </si>
  <si>
    <t>Center for Chinese Studies Publications</t>
  </si>
  <si>
    <t>An Annotated Bibliography of Chinese Painting Catalogues and Related Texts</t>
  </si>
  <si>
    <t>The Economy of Communist China, 1949-1969</t>
  </si>
  <si>
    <t>Teaching History in the Digital Age</t>
  </si>
  <si>
    <t>The American Automobile Industry : Rebirth or Requiem?</t>
  </si>
  <si>
    <t>University of Michigan, Center for Japanese Studies</t>
  </si>
  <si>
    <t>The Sting of Death and Other Stories</t>
  </si>
  <si>
    <t>Poetry's Afterlife : Verse in the Digital Age</t>
  </si>
  <si>
    <t>Tactics of the Human : Experimental Technics in American Fiction</t>
  </si>
  <si>
    <t>Imagining the Global : Transnational Media and Popular Culture Beyond East and West</t>
  </si>
  <si>
    <t>The Future of Africa : Challenges and Opportunities</t>
  </si>
  <si>
    <t>International Organizations in Global Social Governance</t>
  </si>
  <si>
    <t>Organisationsbildung und Gesellschaftliche Differenzierung : Empirische Einsichten und Theoretische Perspektiven</t>
  </si>
  <si>
    <t>Urban Informatics</t>
  </si>
  <si>
    <t>Resilient Urban Futures</t>
  </si>
  <si>
    <t>Operationalisation of Hybrid Peacebuilding in Asia : From Theory to Practice</t>
  </si>
  <si>
    <t>Migration to and from Welfare States : Lived Experiences of the Welfare-Migration Nexus in a Globalised World</t>
  </si>
  <si>
    <t>Migration and Discrimination : IMISCOE Short Reader</t>
  </si>
  <si>
    <t>Remedies Against Immunity? : Reconciling International and Domestic Law after the Italian Constitutional Court's Sentenza 238/2014</t>
  </si>
  <si>
    <t>AVENUE21. Politische und Planerische Aspekte der Automatisierten Mobilität</t>
  </si>
  <si>
    <t>Cushing’s disease and aggressive pituitary tumours : Aspects on epidemiology, treatment, and long-term follow-up</t>
  </si>
  <si>
    <t>Synthesis and Characterization of ZnO/Graphene Nanostructures for Electronics and Photocatalysis</t>
  </si>
  <si>
    <t>Prediction of Spontaneous Preterm Birth : Clinical and Immunological Aspects</t>
  </si>
  <si>
    <t>Scientia Media : Der Molinismus und das Faktenwissen. Mit Einer Edition des Ms. BU Salamanca 156 Von 1653</t>
  </si>
  <si>
    <t>Musculoskeletal Diseases 2021-2024 : Diagnostic Imaging</t>
  </si>
  <si>
    <t>Rethinking Social Action Through Music : The Search for Coexistence and Citizenship in Medellín's Music Schools</t>
  </si>
  <si>
    <t>New Perspectives in Biblical and Rabbinic Hebrew</t>
  </si>
  <si>
    <t>Classical Music : Contemporary Perspectives and Challenges</t>
  </si>
  <si>
    <t>Middlemarch : Epigraphs and Mirrors</t>
  </si>
  <si>
    <t>Grammatical and Sociolinguistic Aspects of Ethiopian Languages</t>
  </si>
  <si>
    <t>Functionalized epitaxial graphene as versatile platform for air quality sensors</t>
  </si>
  <si>
    <t>Sensor Management for Target Tracking Applications</t>
  </si>
  <si>
    <t>East and West of the Pentacrest : Linguistic Studies in Honor of Paula Kempchinsky</t>
  </si>
  <si>
    <t>Ålderism i media : Online representationer av äldre människor</t>
  </si>
  <si>
    <t>Yrkeselevers agens i identitetsformering som industriarbetare</t>
  </si>
  <si>
    <t>A techno-economic system approach for the energy renovation of residential districts built before 1945</t>
  </si>
  <si>
    <t>Masterpieces of Swiss Entrepreneurship : Swiss SMEs Competing in Global Markets</t>
  </si>
  <si>
    <t>Optimization-Based Energy Management for Multi-Energy Maritime Grids</t>
  </si>
  <si>
    <t>UK Child Migration to Australia, 1945-1970 : A Study in Policy Failure</t>
  </si>
  <si>
    <t>Designing Sustainability for All : The Design of Sustainable Product-Service Systems Applied to Distributed Economies</t>
  </si>
  <si>
    <t>Methodological Approaches to Societies in Transformation : How to Make Sense of Change</t>
  </si>
  <si>
    <t>Social Background and the Demographic Life Course: Cross-National Comparisons</t>
  </si>
  <si>
    <t>Fostering Transformative Change for Sustainability in the Context of Socio-Ecological Production Landscapes and Seascapes (SEPLS)</t>
  </si>
  <si>
    <t>Undocumented Migrants and Their Everyday Lives : The Case of Finland</t>
  </si>
  <si>
    <t>Young Adults and Active Citizenship : Towards Social Inclusion Through Adult Education</t>
  </si>
  <si>
    <t>Migrant Hospitalities in the Mediterranean : Encounters with Alterity in Birth and Death</t>
  </si>
  <si>
    <t>Migrants, Refugees and Asylum Seekers' Integration in European Labour Markets : A Comparative Approach on Legal Barriers and Enablers</t>
  </si>
  <si>
    <t>Small Electric Vehicles : An International View on Light Three- and Four-Wheelers</t>
  </si>
  <si>
    <t>Advances on Mechanics, Design Engineering and Manufacturing III : Proceedings of the International Joint Conference on Mechanics, Design Engineering and Advanced Manufacturing, JCM 2020, June 2-4 2020</t>
  </si>
  <si>
    <t>Social Development in the World Bank : Essays in Honor of Michael M. Cernea</t>
  </si>
  <si>
    <t>Market Engineering : Insights from Two Decades of Research on Markets and Information</t>
  </si>
  <si>
    <t>Seeking the Best Master : State Ownership in the Varieties of Capitalism</t>
  </si>
  <si>
    <t>Sex Work, Health, and Human Rights : Global Inequities, Challenges, and Opportunities for Action</t>
  </si>
  <si>
    <t>Qualité des Aliments d'origine Animale : Production et Transformation</t>
  </si>
  <si>
    <t>Agroecology: Research for the Transition of Agri-Food Systems and Territories</t>
  </si>
  <si>
    <t>Eating in the City : Socio-Anthropological Perspectives from Africa, Latin America and Asia</t>
  </si>
  <si>
    <t>Energy and Sustainable Futures : Proceedings of 2nd ICESF 2020</t>
  </si>
  <si>
    <t>Social Selling Im B2B : Grundlagen, Tools, State of the Art</t>
  </si>
  <si>
    <t>The Global Lives of German Migrants : Consequences of International Migration Across the Life Course</t>
  </si>
  <si>
    <t>Comprehensive Utilization of Magnesium Slag by Pidgeon Process</t>
  </si>
  <si>
    <t>Schulbezogene Motivierungspraktiken Von Eltern : Verbale Wert- und Kontrollzuschreibungen Gegenüber Kindern Beim Übertritt in Die Sekundarstufe I</t>
  </si>
  <si>
    <t>Animals in Our Midst: the Challenges of Co-Existing with Animals in the Anthropocene</t>
  </si>
  <si>
    <t>Recycling - ein Mittel Zu Welchem Zweck? : Modellbasierte Ermittlung der Energetischen Aufwände des Metallrecyclings Für Einen Empirischen Vergleich Mit der Primärgewinnung</t>
  </si>
  <si>
    <t>Investigating volume change and ion transport in conjugated polymers</t>
  </si>
  <si>
    <t>Insomnia Symptoms in Chronic Pain : Clinical presentation, risk and treatment</t>
  </si>
  <si>
    <t>Development of Experimental Brachytherapy Dosimetry Using Monte Carlo Simulations for Detector Characterization</t>
  </si>
  <si>
    <t>Optimisation methods for solving a large-scale avionics scheduling problem</t>
  </si>
  <si>
    <t>The value of evaluating and implementing pharmaceuticals</t>
  </si>
  <si>
    <t>Methods for Travel Pattern Analysis Using Large-Scale Passive Data</t>
  </si>
  <si>
    <t>Atypical femoral fractures: Another brick in the wall : On aspects of healing, treatment strategies and surveillance</t>
  </si>
  <si>
    <t>Turbulence Descriptors in Arterial Flows : Patient-Specific Computational Hemodynamics</t>
  </si>
  <si>
    <t>Boy-Wives and Female Husbands : Studies in African Homosexualities</t>
  </si>
  <si>
    <t>Water and Earthquakes</t>
  </si>
  <si>
    <t>Bearing Witness : Ruth Harrison and British Farm Animal Welfare (1920-2000)</t>
  </si>
  <si>
    <t>Microorganisms in the Deterioration and Preservation of Cultural Heritage</t>
  </si>
  <si>
    <t>Rice Improvement : Physiological, Molecular Breeding and Genetic Perspectives</t>
  </si>
  <si>
    <t>Female Employment and Gender Gaps in China</t>
  </si>
  <si>
    <t>Social Cash Transfer in Turkey : Toward Market Citizenship</t>
  </si>
  <si>
    <t>Modeling and Optimal Control for Dynamic Driving of Hybridized Vehicles with Turbocharged Diesel Engines</t>
  </si>
  <si>
    <t>Autonomous Lab-on-a-chip: solutions and fast prototyping tools</t>
  </si>
  <si>
    <t>Engineered ion-bombardment as a tool in thin film deposition</t>
  </si>
  <si>
    <t>'Cotton swabs and cell membrane' : Nutrient uptake in teaching and student texts in upper primary school</t>
  </si>
  <si>
    <t>On subscale flight testing : Cost-effective techniques for research and development</t>
  </si>
  <si>
    <t>Learning visual perception for autonomous systems</t>
  </si>
  <si>
    <t>Enable the landing of Internet of Things: a holistic approach</t>
  </si>
  <si>
    <t>Implementing Industry 4. 0 in SMEs : Concepts, Examples and Applications</t>
  </si>
  <si>
    <t>Governing the Pandemic : The Politics of Navigating a Mega-Crisis</t>
  </si>
  <si>
    <t>Understanding the Creeping Crisis</t>
  </si>
  <si>
    <t>Migration and Environmental Change in Morocco : In Search for Linkages Between Migration Aspirations and (Perceived) Environmental Changes</t>
  </si>
  <si>
    <t>Trends in Cerebrovascular Surgery and Interventions</t>
  </si>
  <si>
    <t>Migration, Urbanity and Cosmopolitanism in a Globalized World</t>
  </si>
  <si>
    <t>A Victorian Curate : A Study of the Life and Career of the Rev. Dr John Hunt</t>
  </si>
  <si>
    <t>Shaping the Digital Dissertation : Knowledge Production in the Arts and Humanities</t>
  </si>
  <si>
    <t>Diversity and Rabbinization : Jewish Texts and Societies Between 400 and 1000 CE</t>
  </si>
  <si>
    <t>Right Research : Modelling Sustainable Research Practices in the Anthropocene</t>
  </si>
  <si>
    <t>Der Junge Carnap in Historischem Kontext: 1918-1935 / Young Carnap in an Historical Context: 1918-1935</t>
  </si>
  <si>
    <t>Finance 4. 0 - Towards a Socio-Ecological Finance System : A Participatory Framework to Promote Sustainability</t>
  </si>
  <si>
    <t>Forms of Exile in Jewish Literature and Thought : Twentieth-Century Central Europe and Migration to America</t>
  </si>
  <si>
    <t>Local Social Exposure and Inter-Neighborhood Mobility</t>
  </si>
  <si>
    <t>Forward-looking assessment in early reading instruction : Theory and Practice</t>
  </si>
  <si>
    <t>Life Cycle Costing : Supporting companies towards a circular economy</t>
  </si>
  <si>
    <t>Atlas of Fallen Dust in Kuwait</t>
  </si>
  <si>
    <t>Psychology and Politics : Intersections of Science and Ideology in the History of Psy-Sciences</t>
  </si>
  <si>
    <t>After the Berlin Wall : A History of the EBRD, Volume 1</t>
  </si>
  <si>
    <t>A Task for Sisyphus : Why Europe's Roma Policies Fail</t>
  </si>
  <si>
    <t>Introduction to Central Banking</t>
  </si>
  <si>
    <t>Innovation, Sustainability and Management in Motorsports : The Case of Formula E</t>
  </si>
  <si>
    <t>Bioeconomy and Global Inequalities : Socio-Ecological Perspectives on Biomass Sourcing and Production</t>
  </si>
  <si>
    <t>Die Zukunft Zwischen Goethezeit und Realismus : Literarische Zeitreflexion der Zwischenphase (1820-1850)</t>
  </si>
  <si>
    <t>Visual Securitization : Humanitarian Representations and Migration Governance</t>
  </si>
  <si>
    <t>Cinematic Histospheres : On the Theory and Practice of Historical Films</t>
  </si>
  <si>
    <t>African Handbook of Climate Change Adaptation</t>
  </si>
  <si>
    <t>The Heterogeneity of Cancer Metabolism</t>
  </si>
  <si>
    <t>From Opinion Mining to Financial Argument Mining</t>
  </si>
  <si>
    <t>Area Selective Chemical Vapor Deposition of Metallic Films using Plasma Electrons as Reducing Agents</t>
  </si>
  <si>
    <t>Multi-Cell Massive MIMO: Power Control and Channel Estimation</t>
  </si>
  <si>
    <t>Data-Driven Approaches for Traffic State and Emission Estimation</t>
  </si>
  <si>
    <t>Coordinating the Internet : Thought styles, technology and coordination</t>
  </si>
  <si>
    <t>Discriminative correlation filters in robot vision</t>
  </si>
  <si>
    <t>High Temperature Fatigue Behaviour of Austenitic Stainless Steel : Microstructural Evolution during Dwell-Fatigue and Thermomechanical Fatigue</t>
  </si>
  <si>
    <t>Atlas of Mineral Deposits Distribution in China (2020)</t>
  </si>
  <si>
    <t>Language Variation - European Perspectives VIII : Selected Papers from the Tenth International Conference on Language Variation in Europe (ICLaVE 10), Leeuwarden, June 2019</t>
  </si>
  <si>
    <t>Uncertainty in Mechanical Engineering : Proceedings of the 4th International Conference on Uncertainty in Mechanical Engineering (ICUME 2021), June 7-8 2021</t>
  </si>
  <si>
    <t>Influences of the IEA Civic and Citizenship Education Studies : Practice, Policy, and Research Across Countries and Regions</t>
  </si>
  <si>
    <t>Making Healthcare Safe : The Story of the Patient Safety Movement</t>
  </si>
  <si>
    <t>Animating Unpredictable Effects : Nonlinearity in Hollywood's R&amp;d Complex</t>
  </si>
  <si>
    <t>Concepts, Frames and Cascades in Semantics, Cognition and Ontology</t>
  </si>
  <si>
    <t>Uncertainty-Aware Convolutional Neural Networks for Vision Tasks on Sparse Data</t>
  </si>
  <si>
    <t>Writing and Publishing Scientific Papers : A Primer for the Non-English Speaker</t>
  </si>
  <si>
    <t>On the Literature and Thought of the German Classical Era : Collected Essays</t>
  </si>
  <si>
    <t>Inventory Analytics</t>
  </si>
  <si>
    <t>Die Christliche Predigt Im 21. Jahrhundert : Multimodale Analyse Einer Kommunikativen Gattung</t>
  </si>
  <si>
    <t>Nuclear and Radiological Emergencies in Animal Production Systems, Preparedness, Response and Recovery</t>
  </si>
  <si>
    <t>Our Nanotechnology Future</t>
  </si>
  <si>
    <t>Chasing the Chinese Dream : Four Decades of Following China's War on Poverty</t>
  </si>
  <si>
    <t>Critical Issues in Head and Neck Oncology : Key Concepts from the Seventh THNO Meeting</t>
  </si>
  <si>
    <t>Advances in Assessment and Modeling of Earthquake Loss</t>
  </si>
  <si>
    <t>EU-Turkey Relations : Theories, Institutions, and Policies</t>
  </si>
  <si>
    <t>Temporäre an- und Abwesenheiten in ländlichen Räumen : Auswirkungen Multilokaler Lebensweisen Auf Land und Gesellschaft</t>
  </si>
  <si>
    <t>Money and Debt: the Public Role of Banks</t>
  </si>
  <si>
    <t>Culture-Bearing Women : The Black Women Renaissance and Cultural Nationalism</t>
  </si>
  <si>
    <t>Theater As Metaphor</t>
  </si>
  <si>
    <t>Advances in the Sociology of Trust and Cooperation : Theory, Experiments, and Field Studies</t>
  </si>
  <si>
    <t>Creating Standards : Interactions with Arabic Script in 12 Manuscript Cultures</t>
  </si>
  <si>
    <t>From Memory to Marble : The Historical Frieze of the Voortrekker Monument Part II: the Scenes</t>
  </si>
  <si>
    <t>Handbook of Stemmatology : History, Methodology, Digital Approaches</t>
  </si>
  <si>
    <t>Rome and the Guidebook Tradition : From the Middle Ages to the 20th Century</t>
  </si>
  <si>
    <t>Empire of Liberty : Die Vereinigten Staaten Von der Reconstruction Zum Spanisch-Amerikanischen Krieg</t>
  </si>
  <si>
    <t>Tra I Libri Di Isacco Argiro</t>
  </si>
  <si>
    <t>Zerstörung Von Geschriebenem : Historische und Transkulturelle Perspektiven</t>
  </si>
  <si>
    <t>Staging Doubt : Skepticism in Early Modern European Drama</t>
  </si>
  <si>
    <t>Simulations in Medicine : Computer-Aided Diagnostics and Therapy</t>
  </si>
  <si>
    <t>Materialität und Präsenz Spätantiker Inschriften : Eine Studie Zum Wandel der Inschriftenkultur in Den Italienischen Provinzen</t>
  </si>
  <si>
    <t>Johann Gottlob Von Quandt (17871859) : Kunst Fördern und Ausstellen</t>
  </si>
  <si>
    <t>Deutscher Kunstverlag GmbH</t>
  </si>
  <si>
    <t>Data Visualization in Society</t>
  </si>
  <si>
    <t>Sacred Scripture / Sacred Space : The Interlacing of Real Places and Conceptual Spaces in Medieval Art and Architecture</t>
  </si>
  <si>
    <t>Manual der Koloproktologie</t>
  </si>
  <si>
    <t>Development on Loan : Microcredit and Marginalisation in Rural China</t>
  </si>
  <si>
    <t>Literature and Politics in the Later Foucault</t>
  </si>
  <si>
    <t>Medieval Women, Material Culture, and Power : Matilda Plantagenet and Her Sisters</t>
  </si>
  <si>
    <t>Das Hirsch-Institut Für Tropenmedizin : Asella, Äthiopien</t>
  </si>
  <si>
    <t>Urban Religion in Late Antiquity</t>
  </si>
  <si>
    <t>Health and Socio-Economic Status over the Life Course : First Results from SHARE Waves 6 And 7</t>
  </si>
  <si>
    <t>Border Deaths : Causes, Dynamics and Consequences of Migration-Related Mortality</t>
  </si>
  <si>
    <t>A Touch of Doubt : On Haptic Scepticism</t>
  </si>
  <si>
    <t>Inschriftenkulturen Im Kommunalen Italien : Traditionen, Brüche, Neuanfänge</t>
  </si>
  <si>
    <t>Screen Space Reconfigured</t>
  </si>
  <si>
    <t>Levinas and Literature : New Directions</t>
  </si>
  <si>
    <t>Confronting Antisemitism from the Perspectives of Christianity, Islam, and Judaism</t>
  </si>
  <si>
    <t>Der österreichische Werbefilm : Die Genese Eines Genres Von Seinen Anfängen Bis 1938</t>
  </si>
  <si>
    <t>Approaches to the Medieval Self : Representations and Conceptualizations of the Self in the Textual and Material Culture of Western Scandinavia, C. 800-1500</t>
  </si>
  <si>
    <t>The Aesthetics of Global Protest : Visual Culture and Communication</t>
  </si>
  <si>
    <t>Rente Im Dritten Reich : Die Reichsversicherungsanstalt Für Angestellte 1933 Bis 1945</t>
  </si>
  <si>
    <t>The Structures of the Film Experience by Jean-Pierre Meunier : Historical Assessments and Phenomenological Expansions</t>
  </si>
  <si>
    <t>Chinese Annals in the Western Observatory : An Outline of Western Studies of Chinese Unearthed Documents</t>
  </si>
  <si>
    <t>An Imaginary Trio : King Solomon, Jesus, and Aristotle</t>
  </si>
  <si>
    <t>Namenwechsel : Die Soziale Funktion Von Vornamen Im Transitionsprozess Transgeschlechtlicher Personen</t>
  </si>
  <si>
    <t>From Scrolls to Scrolling : Sacred Texts, Materiality, and Dynamic Media Cultures</t>
  </si>
  <si>
    <t>Snapshot-Based Methods and Algorithms</t>
  </si>
  <si>
    <t>Mythische Sphärenwechsel : Methodisch Neue Zugänge Zu Antiken Mythen in Orient und Okzident</t>
  </si>
  <si>
    <t>Yearbook of the Maimonides Centre for Advanced Studies. 2019</t>
  </si>
  <si>
    <t>LiebeLesen : Potsdamer Vorlesungen Zu Einem Großen Gefühl und Dessen Aneignung</t>
  </si>
  <si>
    <t>Normen und Standards Für Die Digitale Transformation : Werkzeuge, Praxisbeispiele und Entscheidungshilfen Für Innovative Unternehmen, Normungsorganisationen und Politische Entscheidungsträger</t>
  </si>
  <si>
    <t>Visser 't Hooft, 1900-1985 : Living for the Unity of the Church</t>
  </si>
  <si>
    <t>Nah Am Boden : Privater Hausbau Zwischen Wohnungsnot und Landkonflikt Im Samarkand der 50er- Und 60er-Jahre</t>
  </si>
  <si>
    <t>Anton Pannekoek: Ways of Viewing Science and Society : Ways of Viewing Science and Society</t>
  </si>
  <si>
    <t>De la Literatura Latinoamericana a la Literatura (latinoamericana) Mundial : Condiciones Materiales, Procesos y Actores</t>
  </si>
  <si>
    <t>The Patient Griselda Myth : Looking at Late Medieval and Early Modern European Literature</t>
  </si>
  <si>
    <t>AntikeTexteundihreMaterialität : AlltäglichePräsenz,medialeSemantik,literarischeReflexion</t>
  </si>
  <si>
    <t>Sceptical Paths : Enquiry and Doubt from Antiquity to the Present</t>
  </si>
  <si>
    <t>Tracing the Jerusalem Code : Volume 2: the Chosen People Christian Cultures in Early Modern Scandinavia (1536-Ca. 1750)</t>
  </si>
  <si>
    <t>Die Reihe Merz 1923-1932</t>
  </si>
  <si>
    <t>Ringstraße Ist überall : Texte über Architektur und Stadt</t>
  </si>
  <si>
    <t>Annotations in Scholarly Editions and Research : Functions, Differentiation, Systematization</t>
  </si>
  <si>
    <t>Primary Sources and Asian Pasts</t>
  </si>
  <si>
    <t>Goethe's Faust and the Divan Of Ḥāfiẓ : Body and Soul in Pursuit of Knowledge and Beauty</t>
  </si>
  <si>
    <t>Cultural Techniques : Assembling Spaces, Texts and Collectives</t>
  </si>
  <si>
    <t>Schauplatz Archiv : Objekt - Narrativ - Performanz</t>
  </si>
  <si>
    <t>Virtuelle Lebenswelten : Körper - Räume - Affekte</t>
  </si>
  <si>
    <t>The Wise Merchant</t>
  </si>
  <si>
    <t>Grüne Sonnen: Poetik und Politik der Fantasy Am Medium Videospiel</t>
  </si>
  <si>
    <t>Being Profiled:cogitas Ergo Sum : 10 Years of Profiling the European Citizen</t>
  </si>
  <si>
    <t>A Buddhist Ritual Manual on Agriculture : Vajratuṇḍasamayakalparāja - Critical Edition</t>
  </si>
  <si>
    <t>Masora und Exegese : Untersuchungen Zur Masora und Bibeltextüberlieferung Im Kommentar des R. Schlomo Ben Yitzchaq (Raschi)</t>
  </si>
  <si>
    <t>Reflektierte Algorithmische Textanalyse : Interdisziplinäre(s) Arbeiten in der CRETA-Werkstatt</t>
  </si>
  <si>
    <t>Wie Wird Weltliteratur Gemacht? : Globale Zirkulationen Lateinamerikanischer Literaturen</t>
  </si>
  <si>
    <t>Paradigmas y Polifuncionalidad : Estudio Diacrónico de «preciso»/«precisamente», «justo»/«justamente», «exacto»/«exactamente» Y «cabal»/«cabalmente»</t>
  </si>
  <si>
    <t>Digital Classical Philology : Ancient Greek and Latin in the Digital Revolution</t>
  </si>
  <si>
    <t>Bertel Thorvaldsen - Celebrity : Visualisierungen Eines Künstlerkults Im Frühen 19. Jahrhundert</t>
  </si>
  <si>
    <t>Frontier Tibet : Patterns of Change in the Sino-Tibetan Borderlands</t>
  </si>
  <si>
    <t>Bewertungsinteraktionen in der Theaterpause : Eine Gesprächsanalytische Untersuchung Von Pausengesprächen Im Theaterfoyer</t>
  </si>
  <si>
    <t>Littérature Française et Savoirs Biologiques Au XIXe Siècle : Traduction, Transmission, Transposition</t>
  </si>
  <si>
    <t>Terrorizing Images : Trauma and Ekphrasis in Contemporary Literature</t>
  </si>
  <si>
    <t>Fictionalizing Heterodoxy : Various Uses of Knowledge in the Spanish World from the Archpriest of Hita to Mateo Alemán</t>
  </si>
  <si>
    <t>Jews and Protestants : From the Reformation to the Present</t>
  </si>
  <si>
    <t>Abraham Abulafia's Esotericism : Secrets and Doubts</t>
  </si>
  <si>
    <t>Inscriptions of the Aulikaras and Their Associates</t>
  </si>
  <si>
    <t>Schweizerdeutsch und Sprachbewusstsein : Zur Konsolidierung der Deutschschweizer Diglossie Im 19. Jahrhundert</t>
  </si>
  <si>
    <t>Disseminating Jewish Literatures : Knowledge, Research, Curricula</t>
  </si>
  <si>
    <t>Leeuwenhoek's Legatees and Beijerinck's Beneficiaries : A History of Medical Virology in the Netherlands</t>
  </si>
  <si>
    <t>Horizontal Learning in the High Middle Ages : Peer-To-Peer Knowledge Transfer in Religious Communities</t>
  </si>
  <si>
    <t>Heilige und Heiden Im Legendarischen Erzählen des 13. Jahrhunderts : Formen und Funktionen der Aushandlung des Religiösen Gegensatzes Zum Heidentum</t>
  </si>
  <si>
    <t>New Cosmopolitanisms, Race, and Ethnicity : Cultural Perspectives</t>
  </si>
  <si>
    <t>Volksschauspiele : Genese Einer Kulturgeschichtlichen Formation</t>
  </si>
  <si>
    <t>Was Sprach der eine Zum Anderen? : Argumentationsformen in Den Sumerischen Rangstreitgesprächen</t>
  </si>
  <si>
    <t>Seneca the Elder and His Rediscovered Historiae Ab Initio Bellorum Civilium : New Perspectives on Early-Imperial Roman Historiography</t>
  </si>
  <si>
    <t>Nobelpreisträgerinnen : 14 Schriftstellerinnen Im Porträt</t>
  </si>
  <si>
    <t>Ort und Zeit : Filmische Heterotopien Von Hochbaum Bis Tykwer</t>
  </si>
  <si>
    <t>Jalkut Schimoni Zum Zwölfprophetenbuch : Übersetzung und Kommentar</t>
  </si>
  <si>
    <t>Writing Beyond Pen and Parchment : Inscribed Objects in Medieval European Literature</t>
  </si>
  <si>
    <t>Gesammelte Aufsätze Zur Altfranzösischen Epik</t>
  </si>
  <si>
    <t>Ghosts of Transparency : Shadows Cast and Shadows Cast Out</t>
  </si>
  <si>
    <t>Deutsche und Italienische Besatzung Im Unabhängigen Staat Kroatien : 1941 Bis 1943/45</t>
  </si>
  <si>
    <t>Sprach-Spiel-Kunst : Ein Dialog Zwischen Wissenschaft und Praxis</t>
  </si>
  <si>
    <t>Canones: the Art of Harmony : The Canon Tables of the Four Gospels</t>
  </si>
  <si>
    <t>Futures of the Study of Culture : Interdisciplinary Perspectives, Global Challenges</t>
  </si>
  <si>
    <t>The Power of Urban Water : Studies in Premodern Urbanism</t>
  </si>
  <si>
    <t>Historische Gärten und Klimawandel : Eine Aufgabe Für Gartendenkmalpflege, Wissenschaft und Gesellschaft</t>
  </si>
  <si>
    <t>Weissbuch Gastroenterologie 2020/2021 : Erkrankungen des Magen-Darm-Traktes, der Leber und der Bauchspeicheldrüse - Gegenwart und Zukunft</t>
  </si>
  <si>
    <t>Dress and Cultural Difference in Early Modern Europe</t>
  </si>
  <si>
    <t>Topografien des 20. Jahrhunderts : Die Memoriale Poetik des Stolperns in Haroldo de Campos' «Galáxias»</t>
  </si>
  <si>
    <t>Offshoring of White-Collar Services : Business and Economic Perspective</t>
  </si>
  <si>
    <t>Frei, Fair und Lebendig - Die Macht der Commons</t>
  </si>
  <si>
    <t>Transcript Verlag</t>
  </si>
  <si>
    <t>Augmented Spaces and Maps : Das Design Von Kartenbasierten Interfaces</t>
  </si>
  <si>
    <t>Competing Knowledges - Wissen Im Widerstreit</t>
  </si>
  <si>
    <t>Literarische Wissenschaftsgeschichte und Wissenschaftstheorie : Kehlmann - Del Giudice - Serres</t>
  </si>
  <si>
    <t>La Représentation du Discours Autre : Principes Pour une Description</t>
  </si>
  <si>
    <t>Traduire Cicéron Au XVe Siècle - le Livre des Offices d'Anjourrant Bourré</t>
  </si>
  <si>
    <t>Transregional and Regional Elites - Connecting the Early Islamic Empire</t>
  </si>
  <si>
    <t>Living Standards in Southeast Asia : Changes over the Long Twentieth Century, 1900-2015</t>
  </si>
  <si>
    <t>Boredom, Shanzhai, and Digitisation in the Time of Creative China</t>
  </si>
  <si>
    <t>The Epoch of Universalism 1769-1989 / l'époque de L'universalisme 1769-1989</t>
  </si>
  <si>
    <t>The Summa Halensis : Doctrines and Debates</t>
  </si>
  <si>
    <t>World Literature, Cosmopolitanism, Globality : Beyond, Against, Post, Otherwise</t>
  </si>
  <si>
    <t>Literary Culture in Early Modern England, 1630-1700 : Angles of Contingency</t>
  </si>
  <si>
    <t>La Interfaz Sintaxis-Pragmática : Estudios Teóricos, Descriptivos y Experimentales</t>
  </si>
  <si>
    <t>Tracing the Jerusalem Code : Volume 1: the Holy City Christian Cultures in Medieval Scandinavia (ca. 1100-1536)</t>
  </si>
  <si>
    <t>Reigen : Historisch-Kritische Ausgabe</t>
  </si>
  <si>
    <t>Kingship and Polity on the Himalayan Borderland : Rajput Identity During the Early Colonial Encounter</t>
  </si>
  <si>
    <t>Verfestigungen in der Interaktion : Konstruktionen, Sequenzielle Muster, Kommunikative Gattungen</t>
  </si>
  <si>
    <t>Sollbruchstellen des Deutschen, Europäischen und Internationalen Flüchtlingsrechts</t>
  </si>
  <si>
    <t>Studying Film with André Bazin</t>
  </si>
  <si>
    <t>Religiöse Individualisierung in Historischer Perspektive / Religious Individualisation in Historical Perspective : Abschlussbericht Für Die Zweite Förderphase der Kolleg-Forschungsgruppe 1013/Final Report of the Kolleg-Forschungsgruppe 1013 for the Second Funding Period 2013-2018</t>
  </si>
  <si>
    <t>Paulus Als Erzähler? : Eine Narratologische Perspektive Auf Die Paulusbriefe</t>
  </si>
  <si>
    <t>Confini, Identità, Appartenenze : Scenari Letterari e Filmici Dell'Alpe Adria</t>
  </si>
  <si>
    <t>Applications</t>
  </si>
  <si>
    <t>Die Graphematik der Morpheme Im Deutschen und Englischen</t>
  </si>
  <si>
    <t>Geistliche Liederdichter Zwischen Liturgie und Volkssprache : Übertragungen, Bearbeitungen, Neuschöpfungen in Mittelalter und Früher Neuzeit</t>
  </si>
  <si>
    <t>The Summa Halensis : Sources and Context</t>
  </si>
  <si>
    <t>Beijing Garbage : A City Besieged by Waste</t>
  </si>
  <si>
    <t>La Fine Del Mondo Nel de Rerum Natura Di Lucrezio</t>
  </si>
  <si>
    <t>Engines of Order : A Mechanology of Algorithmic Techniques</t>
  </si>
  <si>
    <t>Die Inschriften Zu Den Ludi Saeculares : Acta Ludorum Saecularium</t>
  </si>
  <si>
    <t>Data Loam : Sometimes Hard, Usually Soft. the Future of Knowledge Systems</t>
  </si>
  <si>
    <t>Complex Lexical Units : Compounds and Multi-Word Expressions</t>
  </si>
  <si>
    <t>Discourse on the State of the Jews : Bilingual Edition</t>
  </si>
  <si>
    <t>Tracing the Jerusalem Code : Volume 3: the Promised Land Christian Cultures in Modern Scandinavia (ca. 1750-Ca. 1920)</t>
  </si>
  <si>
    <t>Handbook of Ancient Afro-Eurasian Economies : Volume 1: Contexts</t>
  </si>
  <si>
    <t>Ost-Westliche Erfahrungen der Modernität : Der Chinesisch-Deutsche Ideenaustausch und Die Bewegung des 4. Mai 1919</t>
  </si>
  <si>
    <t>Wahrnehmen, Fühlen, Verstehen : Metaphorisieren und Audiovisuelle Bilder</t>
  </si>
  <si>
    <t>Syntax of Dutch : Coordination and Ellipsis</t>
  </si>
  <si>
    <t>Agents' Abilities</t>
  </si>
  <si>
    <t>Genocide and Mass Violence in Asia : An Introductory Reader</t>
  </si>
  <si>
    <t>Body and Spirit in the Middle Ages : Literature, Philosophy, Medicine</t>
  </si>
  <si>
    <t>The International Labour Organization : 100 Years of Global Social Policy</t>
  </si>
  <si>
    <t>HORACE's SERMONES BOOK 1 : Credentials for Maecenas</t>
  </si>
  <si>
    <t>The Hirsch Institute of Tropical Medicine : Asella, Äthiopien</t>
  </si>
  <si>
    <t>Judah Halevi's Fideistic Scepticism in the Kuzari</t>
  </si>
  <si>
    <t>Franz Brentano und Sein Philosophischer Nachlass</t>
  </si>
  <si>
    <t>Internationale Gerechtigkeit und Institutionelle Verantwortung</t>
  </si>
  <si>
    <t>Excavations at Paithan, Maharashtra : Transformations in Early Historic and Early Medieval India</t>
  </si>
  <si>
    <t>Tractatus Mythologicus : Theorie und Methodik Zur Erforschung Von Mythen Als Grundlegung Einer Allgemeinen, Transmedialen und Komparatistischen Stoffwissenschaft</t>
  </si>
  <si>
    <t>Toward a Cognitive Classical Linguistics : The Embodied Basis of Constructions in Greek and Latin</t>
  </si>
  <si>
    <t>Der Grüne Kakadu : Historisch-Kritische Ausgabe</t>
  </si>
  <si>
    <t>Guimarães Rosa und Meyer-Clason : Literatur, Demokratie, ZusammenLebenswissen</t>
  </si>
  <si>
    <t>Himmelwärts / das Unbekannte Leben / Mit Dem Kopf Durch Die Wand</t>
  </si>
  <si>
    <t>Adhesive Bonding of Aircraft Composite Structures : Non-Destructive Testing and Quality Assurance Concepts</t>
  </si>
  <si>
    <t>Novel Plant Imaging and Analysis : Water, Elements and Gas, Utilizing Radiation and Radioisotopes</t>
  </si>
  <si>
    <t>Technology, Media Literacy, and the Human Subject : A Posthuman Approach</t>
  </si>
  <si>
    <t>Lived Nation As the History of Experiences and Emotions in Finland, 1800-2000</t>
  </si>
  <si>
    <t>Nachhaltige Stadtentwicklung : Die Umsetzung der Sustainable Development Goals Auf Kommunaler Ebene</t>
  </si>
  <si>
    <t>Risk Quantification and Allocation Methods for Practitioners</t>
  </si>
  <si>
    <t>Agile Processes in Software Engineering and Extreme Programming : 22nd International Conference on Agile Software Development, XP 2021, Virtual Event, June 14-18, 2021, Proceedings</t>
  </si>
  <si>
    <t>The Psychodynamics of Enlightened Leadership : Coping with Chaos</t>
  </si>
  <si>
    <t>Data Science for Economics and Finance : Methodologies and Applications</t>
  </si>
  <si>
    <t>Reading Backwards : An Advance Retrospective on Russian Literature</t>
  </si>
  <si>
    <t>Probability in Electrical Engineering and Computer Science : An Application-Driven Course</t>
  </si>
  <si>
    <t>Assessing Environmental Risk of Oil Spills with ERA Acute : A New Methodology</t>
  </si>
  <si>
    <t>Quaternion Algebras</t>
  </si>
  <si>
    <t>Saving and Investment in the Twenty-First Century : The Great Divergence</t>
  </si>
  <si>
    <t>Dying to Count : Post-Abortion Care and Global Reproductive Health Politics in Senegal</t>
  </si>
  <si>
    <t>Dekoloniale Politische Bildung : Eine Empirische Untersuchung Von Lernendenvorstellungen Zum Postkolonialen Erbe</t>
  </si>
  <si>
    <t>Ten Crises : The Political Economy of China's Development (1949-2020)</t>
  </si>
  <si>
    <t>Post-Digital, Post-Internet Art and Education : The Future Is All-Over</t>
  </si>
  <si>
    <t>Infektionen und Gesellschaft : COVID-19, Frühere und Zukünftige Herausforderungen Durch Pandemien</t>
  </si>
  <si>
    <t>Open Government Data as a Reform and Ecosystem : A conceptual framework for evolution and health</t>
  </si>
  <si>
    <t>Shared Physical Custody : Interdisciplinary Insights in Child Custody Arrangements</t>
  </si>
  <si>
    <t>Multimodal Texts in Disciplinary Education : A Comprehensive Framework</t>
  </si>
  <si>
    <t>Rethinking Sustainability Towards a Regenerative Economy</t>
  </si>
  <si>
    <t>Shaping an Inclusive Energy Transition</t>
  </si>
  <si>
    <t>The Elements of Big Data Value : Foundations of the Research and Innovation Ecosystem</t>
  </si>
  <si>
    <t>The Palgrave Handbook of Positive Education</t>
  </si>
  <si>
    <t>Transnational Legal Activism in Global Value Chains : The Ali Enterprises Factory Fire and the Struggle for Justice</t>
  </si>
  <si>
    <t>Benefit/Cost-Driven Software Development : With Benefit Points and Size Points</t>
  </si>
  <si>
    <t>Rethinking Nordic Courts</t>
  </si>
  <si>
    <t>Automated Deduction - CADE 28 : 28th International Conference on Automated Deduction, Virtual Event, July 12-15, 2021, Proceedings</t>
  </si>
  <si>
    <t>The Once-Only Principle : The TOOP Project</t>
  </si>
  <si>
    <t>Datensouveränität : Governance-Ansätze Für Den Gesundheitsbereich</t>
  </si>
  <si>
    <t>Gerechter Frieden : Im Spannungsfeld Zwischen Ziviler Konfliktbearbeitung und Rechtserhaltender Gewalt</t>
  </si>
  <si>
    <t>Pflege-Report 2021 : Sicherstellung der Pflege: Bedarfslagen und Angebotsstrukturen</t>
  </si>
  <si>
    <t>Towards an Ethics of Autism : A Philosophical Exploration</t>
  </si>
  <si>
    <t>Human Cultures Through the Scientific Lens : Essays in Evolutionary Cognitive Anthropology</t>
  </si>
  <si>
    <t>Measuring Professional Competence for the Teaching of Mathematical Modelling : A Test Instrument</t>
  </si>
  <si>
    <t>Abschlusspolitische Ergebnisspaltungen Mit Aufgegebenen Geschäftsbereichen Nach IFRS 5 : Existenz und Prävention</t>
  </si>
  <si>
    <t>Financing Clean Energy Access in Sub-Saharan Africa : Risk Mitigation Strategies and Innovative Financing Structures</t>
  </si>
  <si>
    <t>Computer Aided Verification : 33rd International Conference, CAV 2021, Virtual Event, July 20-23, 2021, Proceedings, Part I</t>
  </si>
  <si>
    <t>Computer Aided Verification : 33rd International Conference, CAV 2021, Virtual Event, July 20-23, 2021, Proceedings, Part II</t>
  </si>
  <si>
    <t>Games Without Frontiers? : Socio-Historical Perspectives at the Gaming/Gambling Intersection</t>
  </si>
  <si>
    <t>The German Chambers of Commerce and Industry : Self-Governance, Service, the General Representation of Interests and the Dual System of Professional Education</t>
  </si>
  <si>
    <t>(un)doing Gender Empirisch : Qualitative Forschung in der Kita</t>
  </si>
  <si>
    <t>Entrepreneurial Strategy : Starting, Managing, and Scaling New Ventures</t>
  </si>
  <si>
    <t>Organizing for Sustainability : A Guide to Developing New Business Models</t>
  </si>
  <si>
    <t>Brain-Inspired Computing : 4th International Workshop, BrainComp 2019, Cetraro, Italy, July 15-19, 2019, Revised Selected Papers</t>
  </si>
  <si>
    <t>Logistische Regression : Eine Anwendungsorientierte Einführung Mit R</t>
  </si>
  <si>
    <t>Outdoor Learning and Play : Pedagogical Practices and Children's Cultural Formation</t>
  </si>
  <si>
    <t>Pupils’ Encounters with Mathematics : A Study of Pupils’ Encounters with Mathematics in Preschool Class and in Year 1</t>
  </si>
  <si>
    <t>Local Conditions for Long Cycles in Graphs</t>
  </si>
  <si>
    <t>Representations of fractions : A study of middle school mathematics</t>
  </si>
  <si>
    <t>Digitalt stöd för personer med kognitiv funktionsnedsättning : enintervention för att öka aktivitetsutförande i vardagen</t>
  </si>
  <si>
    <t>Identifiering av unga som riskerar sexuell ohälsa : implementering av en ny metod på ungdomsmottagningar</t>
  </si>
  <si>
    <t>Learning Representations for Segmentation and Registration</t>
  </si>
  <si>
    <t>The Data Journalism Handbook : Towards a Critical Data Practice</t>
  </si>
  <si>
    <t>Co-Governed Sovereignty Network : Legal Basis and Its Prototype and Applications with MIN Architecture</t>
  </si>
  <si>
    <t>Non-Canonical Control in a Cross-linguistic Perspective</t>
  </si>
  <si>
    <t>Introduction to Space Syntax in Urban Studies</t>
  </si>
  <si>
    <t>Embodying Black Religions in Africa and Its Diasporas</t>
  </si>
  <si>
    <t>What Works in Conservation : 2021</t>
  </si>
  <si>
    <t>Politics and the Environment in Eastern Europe</t>
  </si>
  <si>
    <t>Ray Tracing Gems II : Next Generation Real-Time Rendering with DXR, Vulkan, and OptiX</t>
  </si>
  <si>
    <t>Visual Methodology in Migration Studies : New Possibilities, Theoretical Implications, and Ethical Questions</t>
  </si>
  <si>
    <t>Improving Interagency Collaboration, Innovation and Learning in Criminal Justice Systems : Supporting Offender Rehabilitation</t>
  </si>
  <si>
    <t>Augmented Humanity : Being and Remaining Agentic in a Digitalized World</t>
  </si>
  <si>
    <t>Mehrsprachige Pflegebedürftige in Deutschen Pflegeheimen und das Projekt Unvergessen : Studierende an der Schnittstelle Von Forschung und Gesellschaft</t>
  </si>
  <si>
    <t>Concepts in Action : Representation, Learning, and Application</t>
  </si>
  <si>
    <t>Between Peace and Conflict in the East and the West : Studies on Transformation and Development in the OSCE Region</t>
  </si>
  <si>
    <t>Time-resolved CVD of Group 13-Nitrides</t>
  </si>
  <si>
    <t>Stocker du Carbone Dans les Sols Français : Quel Potentiel et à Quel Coût ?</t>
  </si>
  <si>
    <t>Global Political Demography : The Politics of Population Change</t>
  </si>
  <si>
    <t>Vor der Revolution : Die Vereinigten Staaten und Die Permanente Intervention in Iran, 1953-1975</t>
  </si>
  <si>
    <t>Molecular Beams in Physics and Chemistry : From Otto Stern's Pioneering Exploits to Present-Day Feats</t>
  </si>
  <si>
    <t>A Visual Atlas for Soil Micromorphologists</t>
  </si>
  <si>
    <t>Student Feedback on Teaching in Schools : Using Student Perceptions for the Development of Teaching and Teachers</t>
  </si>
  <si>
    <t>Big Data in Bioeconomy : Results from the European DataBio Project</t>
  </si>
  <si>
    <t>Ab Initio Modeling of Magnetic Materials in the High-Temperature Paramagnetic Phase</t>
  </si>
  <si>
    <t>Foundations of Software Science and Computation Structures : 23rd International Conference, FOSSACS 2020, Held As Part of the European Joint Conferences on Theory and Practice of Software, ETAPS 2020, Dublin, Ireland, April 25-30, 2020, Proceedings</t>
  </si>
  <si>
    <t>Earth Observation Science and Applications for Risk Reduction and Enhanced Resilience in Hindu Kush Himalaya Region : A Decade of Experience from SERVIR</t>
  </si>
  <si>
    <t>Beyond the Makerspace : Making and Relational Rhetorics</t>
  </si>
  <si>
    <t>Theater As Data : Computational Journeys into Theater Research</t>
  </si>
  <si>
    <t>Saving New Sounds : Podcast Preservation and Historiography</t>
  </si>
  <si>
    <t>Paul Lorenzen -- Mathematician and Logician</t>
  </si>
  <si>
    <t>Exercise-Based Cardiac Rehabilitation in Patients with Coronary Artery Disease : Attendance, Adherence and the Added Value of a Behavioural Medicine Intervention</t>
  </si>
  <si>
    <t>Theoretical studies of the coupling between electronic, vibrational, configurational and structural effects in metal borides</t>
  </si>
  <si>
    <t>Assessment and guidance : Assessment interviews with prospective adoptive parents as institutional practice</t>
  </si>
  <si>
    <t>The Economics of the Audiovisual Industry: Financing TV, Film and Web</t>
  </si>
  <si>
    <t>Selbststudium Im Digitalen Wandel : Digitales, Begleitetes Selbststudium in der Mathematik - MINT Meistern Mit Optes</t>
  </si>
  <si>
    <t>Assessment of Climate Change over the Indian Region : A Report of the Ministry of Earth Sciences (MoES), Government of India</t>
  </si>
  <si>
    <t>The Importance and Value of Older Employees : Wise Workers in the Workplace</t>
  </si>
  <si>
    <t>Three Essays on Empirical Asset Pricing in International Equity Markets</t>
  </si>
  <si>
    <t>Binging Family : Die Konzeption Von Familie in der Video-On-Demand-Serie</t>
  </si>
  <si>
    <t>Music As Intangible Cultural Heritage : Economic, Cultural and Social Identity</t>
  </si>
  <si>
    <t>NGOs Als Besondere Akteure der Interessenvermittlung : Eine Analyse der Politischen Rationalität Von Nichtregierungsorganisationen</t>
  </si>
  <si>
    <t>Liquidity, Markets and Trading in Action : An Interdisciplinary Perspective</t>
  </si>
  <si>
    <t>From Goethe to Gundolf : Essays on German Literature and Culture</t>
  </si>
  <si>
    <t>Energy Management Strategy Design for Series Hybrid Electric Vehicles</t>
  </si>
  <si>
    <t>Collective decision-making on networked systems in presence of antagonistic interactions</t>
  </si>
  <si>
    <t>Digitalising Tax, The Kenyan Way : The Travels and Translations of ITax in Kenya</t>
  </si>
  <si>
    <t>Inequalities in Health : the Importance of Material/Structural Factors and Psychosocial Resources</t>
  </si>
  <si>
    <t>Dissecting Discrimination : Identifying Its Various Faces and Their Sources</t>
  </si>
  <si>
    <t>Il était une Fois L'Ifremer</t>
  </si>
  <si>
    <t>Le Bien-être des Animaux D'élevage : Évaluer le Bien-être Animal</t>
  </si>
  <si>
    <t>Cocaine : From Coca Fields to the Streets</t>
  </si>
  <si>
    <t>Scriptures, Shrines, Scapegoats, and World Politics : Religious Sources of Conflict and Cooperation in the Modern Era</t>
  </si>
  <si>
    <t>Academic Ableism : Disability and Higher Education</t>
  </si>
  <si>
    <t>Karawitan : Source Readings in Javanese Gamelan and Vocal Music, Volume 1</t>
  </si>
  <si>
    <t>Agricultural Robotics: Part of the New Deal? FIRA 2020 Conclusions : With 27 Agricultural Robot Information Sheets</t>
  </si>
  <si>
    <t>Queering Asylum in Europe : Legal and Social Experiences of Seeking International Protection on Grounds of Sexual Orientation and Gender Identity</t>
  </si>
  <si>
    <t>Good Citizenship for the Next Generation : A Global Perspective Using IEA ICCS 2016 Data</t>
  </si>
  <si>
    <t>Typisch Social Entrepreneurship : Arbeitsgestaltung und Wirkung Von Arbeit Bei Sozialunternehmer*innen in Deutschland</t>
  </si>
  <si>
    <t>Anatomie des Amoklaufs : Malaiischer Mĕngamok und School Shooting</t>
  </si>
  <si>
    <t>Towards a Digital Epistemology : Aesthetics and Modes of Thought in Early Modernity and the Present Age</t>
  </si>
  <si>
    <t>The Promise of Higher Education : Essays in Honour of 70 Years of IAU</t>
  </si>
  <si>
    <t>Complicities : A Theory for Subjectivity in the Psychological Humanities</t>
  </si>
  <si>
    <t>Modern Industrial Services : A Cookbook for Design, Delivery, and Management</t>
  </si>
  <si>
    <t>Bandgap Engineering of Lead-Free Halide Double Perovskites</t>
  </si>
  <si>
    <t>Dynamic capabilities for managing logistics challenges of retailers</t>
  </si>
  <si>
    <t>Designing with Machine Learning in Digital Pathology : Augmenting Medical Specialists through Interaction Design</t>
  </si>
  <si>
    <t>Different Aspects of Psoriasis : Comorbidity, Comedication and Disease Biomarkers</t>
  </si>
  <si>
    <t>3D-printing for Aerospace : Fatigue Behaviour of Additively Manufactured Titanium</t>
  </si>
  <si>
    <t>Local Tax Benefits at a Distance : Japan's Hometown Tax Donation Payment</t>
  </si>
  <si>
    <t>Engaged Fatherhood for Men, Families and Gender Equality : Healthcare, Social Policy, and Work Perspectives</t>
  </si>
  <si>
    <t>Emerging Threats of Synthetic Biology and Biotechnology : Addressing Security and Resilience Issues</t>
  </si>
  <si>
    <t>Violence in the Balkans : First Findings from the Balkan Homicide Study</t>
  </si>
  <si>
    <t>Unterrichtszentrierte Schulentwicklung : Schulen Auf Dem Weg Zu Einer Personalisierten Gestaltung Von Lehr- und Lernprozessen</t>
  </si>
  <si>
    <t>No Real Choice : How Culture and Politics Matter for Reproductive Autonomy</t>
  </si>
  <si>
    <t>Improving Inclusive Education Through Universal Design for Learning</t>
  </si>
  <si>
    <t>Interdisciplinary Nutritional Management and Care for Older Adults : An Evidence-Based Practical Guide for Nurses</t>
  </si>
  <si>
    <t>Decision-making and decision support connected to biogas use in Sweden</t>
  </si>
  <si>
    <t>On Material selection and its consequences in product development</t>
  </si>
  <si>
    <t>Sexual and Reproductive Health and Rights in India : Self-Care for Universal Health Coverage</t>
  </si>
  <si>
    <t>A Handbook and Reader of Ottoman Arabic</t>
  </si>
  <si>
    <t>Partizipation Durch Werkstatträte</t>
  </si>
  <si>
    <t>Art Activism for an Anticolonial Future</t>
  </si>
  <si>
    <t>Primary and Secondary Education During Covid-19 : Disruptions to Educational Opportunity During a Pandemic</t>
  </si>
  <si>
    <t>Co-Creation for Responsible Research and Innovation : Experimenting with Design Methods and Tools</t>
  </si>
  <si>
    <t>Übersetzen in der Frühen Neuzeit - Konzepte und Methoden / Concepts and Practices of Translation in the Early Modern Period</t>
  </si>
  <si>
    <t>Science Parks and talent attraction : a study on the development of Science Parks</t>
  </si>
  <si>
    <t>Loss Mechanisms In Non-Fullerene Organic Solar Cells</t>
  </si>
  <si>
    <t>Expanding the versatility and functionality of iontronic devices</t>
  </si>
  <si>
    <t>Die Praxis der Social-Media-Analyse : Eine Explorative Untersuchung Kalibrierten Zuhörens in der Automobilindustrie</t>
  </si>
  <si>
    <t>NL ARMS Netherlands Annual Review of Military Studies 2021 : Compliance and Integrity in International Military Trade</t>
  </si>
  <si>
    <t>Zivilgesellschaftliche Performanz Von Religiösen und Säkularen Migrantenselbstorganisationen : Eine Studie in Nordrhein-Westfalen</t>
  </si>
  <si>
    <t>Proceedings of the 2021 DigitalFUTURES : The 3rd International Conference on Computational Design and Robotic Fabrication (CDRF 2021)</t>
  </si>
  <si>
    <t>Hochschulreformen, Leistungsbewertungen und Berufliche Identität Von Professor*innen : Eine Fächervergleichende Qualitative Studie</t>
  </si>
  <si>
    <t>Structural Health Monitoring Damage Detection Systems for Aerospace</t>
  </si>
  <si>
    <t>Politische Bildung in Aktion : Eine Qualitative Studie Zur Rekonstruktion Von Selbstbestimmten Bildungserfahrungen in Politischen Jugendinitiativen</t>
  </si>
  <si>
    <t>Le Bien-être des Animaux D'élevage : Comprendre le Bien-être Animal</t>
  </si>
  <si>
    <t>Le Bananier Plantain : Enjeux Socio-économiques et Techniques</t>
  </si>
  <si>
    <t>Carrières D'halieutes : Histoires de Mer et de Passions</t>
  </si>
  <si>
    <t>Strategic Management of Agricultural and Life Sciences Research Organisations : Interfaces, Processes and Contents</t>
  </si>
  <si>
    <t>Agroforesterie et Services écosystémiques en Zone Tropicale : Recherche de Compromis Entre Services d'approvisionnement et Autres Services écosystémiques</t>
  </si>
  <si>
    <t>Sugar Beet : A Competitive Innovation</t>
  </si>
  <si>
    <t>Grassland Use in Europe : A Syllabus for Young Farmers</t>
  </si>
  <si>
    <t>La Betterave Sucrière : L'innovation Compétitive</t>
  </si>
  <si>
    <t>L' eau en Milieu Agricole : Outils et Méthodes Pour une Gestion Intégrée et Territoriale</t>
  </si>
  <si>
    <t>Des Choses de la Nature et de Leurs Droits</t>
  </si>
  <si>
    <t>Services écosystémiques et Protection des Sols : Analyses Juridiques et éclairages Agronomiques</t>
  </si>
  <si>
    <t>Du Comportement Végétal à l'intelligence des Plantes ?</t>
  </si>
  <si>
    <t>One Health, une Seule Santé : Théorie et Pratique des Approches Intégrées de la Santé</t>
  </si>
  <si>
    <t>Grasslands and Herbivore Production in Europe and Effects of Common Policies</t>
  </si>
  <si>
    <t>Agroécologie : des Recherches Pour la Transition des Filières et des Territoires</t>
  </si>
  <si>
    <t>Les légumineuses Pour des Systèmes Agricoles et Alimentaires Durables</t>
  </si>
  <si>
    <t>Gestion des Territoires Ruraux : Connaissances et Méthodes Pour la décision Publique Tomes 1 Et 2</t>
  </si>
  <si>
    <t>La Transition Numérique Dans la Recherche et l'enseignement Supérieur à L'horizon 2040</t>
  </si>
  <si>
    <t>La Transformation des Grains</t>
  </si>
  <si>
    <t>Le Manioc, Entre Culture Alimentaire et Filière Agro-Industrielle</t>
  </si>
  <si>
    <t>La Santé Globale Au Prisme de l'analyse des Politiques Publiques</t>
  </si>
  <si>
    <t>Piloter la Fertilisation du Palmier à Huile</t>
  </si>
  <si>
    <t>Réaménagement Forestier des Carrières de Granulats</t>
  </si>
  <si>
    <t>Into the Woods : Overlapping Perspectives on the History of Ancien Forest</t>
  </si>
  <si>
    <t>Parasites et Parasitoses des Poissons</t>
  </si>
  <si>
    <t>Stratégies des Filières Fromagères Sous AOP en Europe : Modes de Régulation et Performance économique</t>
  </si>
  <si>
    <t>De Grands défis et des Solutions Pour L'élevage : INRA Productions Animales 02/19 Vol 32</t>
  </si>
  <si>
    <t>Potabilisation des Eaux de Surface en Afrique de L'Ouest : Solutions Techniques Adaptées de l'expérience de la Vallée du Fleuve Sénégal</t>
  </si>
  <si>
    <t>Manger en Ville : Regards Socio-Anthropologiques d'Afrique, d'Amérique Latine et D'Asie</t>
  </si>
  <si>
    <t>Sociologie des Changements de Pratiques en Agriculture : L'apport de l'étude des Réseaux de Dialogues Entre Pairs</t>
  </si>
  <si>
    <t>Restaurer les Milieux et Prévenir les Inondations Grâce Au Génie Végétal</t>
  </si>
  <si>
    <t>Filière forêt-Bois et Atténuation du Changement Climatique : Entre Séquestration du Carbone en forêt et développement de la Bioéconomie</t>
  </si>
  <si>
    <t>Une Troisième Voie Entre l'État et le Marché : Échanges Avec Elinor Ostrom</t>
  </si>
  <si>
    <t>Guide de Gestion des Dunes et des Plages Associées</t>
  </si>
  <si>
    <t>Les Terres Agricoles Face à L'urbanisation : De la Donnée à l'action, Quels Rôles Pour L'information ?</t>
  </si>
  <si>
    <t>Sols Artificialisés : Déterminants, Impacts et Leviers D'action</t>
  </si>
  <si>
    <t>Stratégies de Publication Scientifique</t>
  </si>
  <si>
    <t>Quelles Agricultures Irriguées Demain ? : Répondre Aux Enjeux de Sécurité Alimentaire et du développement Durable</t>
  </si>
  <si>
    <t>Emergence of Infectious Diseases : Risks and Issues for Societies</t>
  </si>
  <si>
    <t>Réaménagement Agricole des Carrières de Granulats</t>
  </si>
  <si>
    <t>Impacts et Services Issus des élevages Européens</t>
  </si>
  <si>
    <t>Biomasse : Une Histoire de Richesse et de Puissance</t>
  </si>
  <si>
    <t>Bioeconomy Challenges and Implementation: the European Research Organisations' Perspective</t>
  </si>
  <si>
    <t>The Forestry and Wood Sector and Climate Change Mitigation : From Carbon Sequestration in Forests to the Development of the Bioeconomy</t>
  </si>
  <si>
    <t>Geophysical and Geotechnical Methods for Diagnosing Flood Protection Dikes : Guide for Implementation and Interpretation</t>
  </si>
  <si>
    <t>Oyapock et Maroni : Portraits d'estuaires Amazoniens</t>
  </si>
  <si>
    <t>Climatiser le Monde</t>
  </si>
  <si>
    <t>Dynamique des élevages Pastoraux et Agropastoraux en Afrique Intertropicale</t>
  </si>
  <si>
    <t>Can Organic Agriculture Cope Without Copper for Disease Control? : Synthesis of the Collective Scientific Assessment Report</t>
  </si>
  <si>
    <t>La Panification Au Levain Naturel : Glossaire des Savoirs</t>
  </si>
  <si>
    <t>Lexique Hydrologique Pour L'ingénieur</t>
  </si>
  <si>
    <t>Les Zoonoses : Ces Maladies Qui Nous Lient Aux Animaux</t>
  </si>
  <si>
    <t>Eaux et forêts. la forêt : un Outil de Gestion des Eaux ?</t>
  </si>
  <si>
    <t>Pesticides : Des Impacts Aux Changements de Pratiques</t>
  </si>
  <si>
    <t>Artificialized Land and Land Take : Drivers, Impacts and Potential Responses</t>
  </si>
  <si>
    <t>Innovation and Development in Agricultural and Food Systems</t>
  </si>
  <si>
    <t>L' influence Humaine Dans l'origine des Crues : État de l'art et Actes du Colloque</t>
  </si>
  <si>
    <t>La Systémique Agraire à L'INRA : Histoire d'une Dissidence</t>
  </si>
  <si>
    <t>New Directions in the History of the Jews in the Polish Lands</t>
  </si>
  <si>
    <t>Neighbourhoods in Transition : Brownfield Regeneration in European Metropolitan Areas</t>
  </si>
  <si>
    <t>The Persistence of Memory : Remembering Slavery in Liverpool, 'slaving Capital of the World'</t>
  </si>
  <si>
    <t>Reconstructing Public Housing : Liverpool's Hidden History of Collective Alternatives</t>
  </si>
  <si>
    <t>A Stage of Emancipation : Change and Progress at the Dublin Gate Theatre</t>
  </si>
  <si>
    <t>From Slavery to Civil Rights : On the Streetcars of New Orleans 1830s-Present</t>
  </si>
  <si>
    <t>Abrahamic Reflections on Randomness and Providence</t>
  </si>
  <si>
    <t>Preparing for Digital Disruption</t>
  </si>
  <si>
    <t>Negotiating Climate Change in Crisis</t>
  </si>
  <si>
    <t>Consensus or Conflict? : China and Globalization in the 21st Century</t>
  </si>
  <si>
    <t>Spillways on River Levees</t>
  </si>
  <si>
    <t>Critical Landscape Planning During the Belt and Road Initiative</t>
  </si>
  <si>
    <t>Global Pathways to Education : Cultural Spheres, Networks, and International Organizations</t>
  </si>
  <si>
    <t>Evidence-Based School Development in Changing Demographic Contexts</t>
  </si>
  <si>
    <t>Mobile Edge Computing</t>
  </si>
  <si>
    <t>Chinese Water Systems : Volume 4: Applied Water Management in China</t>
  </si>
  <si>
    <t>The Life of Breath in Literature, Culture and Medicine : Classical to Contemporary</t>
  </si>
  <si>
    <t>Implementing BetterBack – a Best Practice Physiotherapy Healthcare Model for Low Back Pain : Clinician and Patient Evaluation</t>
  </si>
  <si>
    <t>Organic Bioelectronic Devices for Selective Biomarker Sensing : Towards Integration with Living Systems</t>
  </si>
  <si>
    <t>Social Robots as Intentional Agents</t>
  </si>
  <si>
    <t>Impact of different interventions on cardiovascular risk factors</t>
  </si>
  <si>
    <t>Autonomous Avoidance Maneuvers for Vehicles using Optimization</t>
  </si>
  <si>
    <t>Interface-Assisted Perovskite Modulations for High-Performance Light-Emitting Diodes</t>
  </si>
  <si>
    <t>Analyse Von Transferprozessen in der Entwicklung des Bruchzahlbegriffs : Theoretische Rahmung und Empirische Untersuchung</t>
  </si>
  <si>
    <t>Political Leadership in Contemporary Japan</t>
  </si>
  <si>
    <t>The American and Japanese Auto Industries in Transition : Report of the Joint U. S. -Japan Automotive Study</t>
  </si>
  <si>
    <t>International Experience in Developing the Financial Resources of Universities</t>
  </si>
  <si>
    <t>Addressing the Climate Crisis : Local Action in Theory and Practice</t>
  </si>
  <si>
    <t>University and School Collaborations During a Pandemic : Sustaining Educational Opportunity and Reinventing Education</t>
  </si>
  <si>
    <t>Nachhaltige Entwicklung in Einer Gesellschaft des Umbruchs</t>
  </si>
  <si>
    <t>La Montée du Niveau de la Mer D'ici 2100 : Scénarios et Conséquences</t>
  </si>
  <si>
    <t>The Prehistoric Maritime Frontier of Southeast China : Indigenous Bai Yue and Their Oceanic Dispersal</t>
  </si>
  <si>
    <t>AVENUE21. Connected and Automated Driving: Prospects for Urban Europe</t>
  </si>
  <si>
    <t>Protecting the Fatherland: Lawsuits and Political Debates in Jülich, Hesse-Cassel and Brittany (1642-1655)</t>
  </si>
  <si>
    <t>Complex Event Processing under Uncertainty in RDF Stream Processing</t>
  </si>
  <si>
    <t>Microplastic in the Environment: Pattern and Process</t>
  </si>
  <si>
    <t>African Land Reform under Economic Liberalisation : States, Chiefs, and Rural Communities</t>
  </si>
  <si>
    <t>Wadi Flash Floods : Challenges and Advanced Approaches for Disaster Risk Reduction</t>
  </si>
  <si>
    <t>Datenreiche Medizin und das Problem der Einwilligung : Ethische, Rechtliche und Sozialwissenschaftliche Perspektiven</t>
  </si>
  <si>
    <t>Umrisse Einer Dritten Kultur Im Interdisziplinären Zusammenspiel Zwischen Literatur und Naturwissenschaft : Jahrbuch des Instituts Für Moderne Fremdsprachen an der Naturwissenschaftlich-Technischen Universität Norwegens (NTNU) in Trondheim</t>
  </si>
  <si>
    <t>The New Politics of Numbers : Utopia, Evidence and Democracy</t>
  </si>
  <si>
    <t>Mastering Uncertainty in Mechanical Engineering</t>
  </si>
  <si>
    <t>Die Formation des literarischen Humors : Ein psychoanalytischer Beitrag zur bürgerlichen Subjektivität</t>
  </si>
  <si>
    <t>transcript</t>
  </si>
  <si>
    <t>Religion und Disability : Behinderung und Befähigung in religiösen Kontexten. Eine religionswissenschaftliche Untersuchung</t>
  </si>
  <si>
    <t>Aufbruch in die Öffentlichkeit? : Reflexionen zum ›public turn‹ in der Religionspädagogik</t>
  </si>
  <si>
    <t>Unbegleitete minderjährige Geflüchtete : Ihre Lebenssituationen und Perspektiven in Deutschland</t>
  </si>
  <si>
    <t>Towards Shared Research : Participatory and Integrative Approaches in Researching African Environments</t>
  </si>
  <si>
    <t>Lehrer_in, Migration und Differenz : Fragen der Zugehörigkeit bei Grundschullehrer_innen der zweiten Einwanderungsgeneration in der Schweiz</t>
  </si>
  <si>
    <t>»Solidarität zuerst« : Zur Neuentdeckung einer politischen Idee</t>
  </si>
  <si>
    <t>Kämpfe um Migrationspolitik seit 2015 : Zur Transformation des europäischen Migrationsregimes</t>
  </si>
  <si>
    <t>Narrative Mechanics : Strategies and Meanings in Games and Real Life</t>
  </si>
  <si>
    <t>Jahrbuch Für Kulturpolitik 2019/20 : Kultur. Macht. Heimaten. Heimat Als Kulturpolitische Herausforderung</t>
  </si>
  <si>
    <t>Religion in der Schule : Pädagogische Praxis zwischen Diskriminierung und Anerkennung</t>
  </si>
  <si>
    <t>Frei, fair und lebendig - Die Macht der Commons</t>
  </si>
  <si>
    <t>Mediated Bordering : Eurosur, the Refugee Boat, and the Construction of an External EU Border</t>
  </si>
  <si>
    <t>Transnationalizing Radio Research : New Approaches to an Old Medium</t>
  </si>
  <si>
    <t>Jahrbuch Migration und Gesellschaft / Yearbook Migration and Society 2020/2021 : Focus »Beyond Borders«</t>
  </si>
  <si>
    <t>Warum treffen sich soziale Bewegungen? : Vom Wert der Begegnung: Interaktionssoziologische Perspektiven auf das Weltsozialforum</t>
  </si>
  <si>
    <t>The Democratization of Artificial Intelligence : Net Politics in the Era of Learning Algorithms</t>
  </si>
  <si>
    <t>Maritime Poetics : From Coast to Hinterland</t>
  </si>
  <si>
    <t>Historisches Lernen und Materielle Kultur : Von Dingen und Objekten in der Geschichtsdidaktik</t>
  </si>
  <si>
    <t>Student und Demokratie : Das politische Potenzial deutscher Studierender in Geschichte und Gegenwart</t>
  </si>
  <si>
    <t>Sterbeorte : Über eine neue Sichtbarkeit des Sterbens in der Architektur</t>
  </si>
  <si>
    <t>The Decline of Marriage in Namibia : Kinship and Social Class in a Rural Community</t>
  </si>
  <si>
    <t>Imagined Economies - Real Fictions : New Perspectives on Economic Thinking in Great Britain</t>
  </si>
  <si>
    <t>Curating Contemporary Music Festivals : A New Perspective on Music's Mediation</t>
  </si>
  <si>
    <t>Politiken der Generativität : Reproduktive Gesundheit, Bevölkerung und Geschlecht. Das Beispiel der Weltgesundheitsorganisation</t>
  </si>
  <si>
    <t>Nationale Hoffnung und konservative Enttäuschung : Zum Wandel des konservativen Nationenverständnisses nach der deutschen Vereinigung</t>
  </si>
  <si>
    <t>The Bureaucratic Production of Difference : Ethos and Ethics in Migration Administrations</t>
  </si>
  <si>
    <t>Sich selbst vergleichen : Zur Relationalität autobiographischen Schreibens vom 12. Jahrhundert bis zur Gegenwart</t>
  </si>
  <si>
    <t>Reflexive Responsibilisierung : Verantwortung für nachhaltige Entwicklung</t>
  </si>
  <si>
    <t>Autonomie und Kalkulation : Zur Praxis gesellschaftlicher Ökonomisierung im Gesundheits- und Krankenhauswesen</t>
  </si>
  <si>
    <t>Knowing in Performing : Artistic Research in Music and the Performing Arts</t>
  </si>
  <si>
    <t>Robotic Knitting : Re-Crafting Human-Robot Collaboration Through Careful Coboting</t>
  </si>
  <si>
    <t>Als Andere unter Anderen : Darstellungen des Füreinander als Weg zur Solidarität</t>
  </si>
  <si>
    <t>Die Gabe als drittes Prinzip zwischen Markt und Staat? : Perspektiven von Marcel Mauss bis zur Gegenwart</t>
  </si>
  <si>
    <t>Eingeschlossene Räume : Das Motiv der Box im Film</t>
  </si>
  <si>
    <t>Contested Solidarity : Practices of Refugee Support between Humanitarian Help and Political Activism</t>
  </si>
  <si>
    <t>Großerzählungen des Extremen : Neue Rechte, Populismus, Islamismus, War on Terror</t>
  </si>
  <si>
    <t>Private Daten : Unsere Spuren in der digitalen Welt</t>
  </si>
  <si>
    <t>Die Berater : Ihr Wirken in Staat und Gesellschaft</t>
  </si>
  <si>
    <t>Studies in the Arts - Neue Perspektiven auf Forschung über, in und durch Kunst und Design</t>
  </si>
  <si>
    <t>Kunstlabore: Für mehr Kunst in Schulen! : Ein Ratgeber zur Qualität künstlerischer Arbeit in Schulen</t>
  </si>
  <si>
    <t>Judith Butler und die Theologie : Herausforderung und Rezeption</t>
  </si>
  <si>
    <t>Fragile Werte : Diskurs und Praxis der Restaurierungswissenschaften 1913-2014</t>
  </si>
  <si>
    <t>Der literarische Realismus und die illustrierten Printmedien : Literatur im Kontext der Massenmedien und visuellen Kultur des 19. Jahrhunderts</t>
  </si>
  <si>
    <t>Glück und Nachhaltigkeit : Subjektives Wohlbefinden als Leitmotiv für nachhaltige Entwicklung</t>
  </si>
  <si>
    <t>Psychische Erkrankungen in der Arbeitswelt : Analysen und Ansätze zur therapeutischen und betrieblichen Bewältigung</t>
  </si>
  <si>
    <t>Philipp von Huttens Tod in der Neuen Welt : Ein Kriminalfall, der das koloniale Schreiben in Gang setzte</t>
  </si>
  <si>
    <t>Music - Media - History : Re-Thinking Musicology in an Age of Digital Media</t>
  </si>
  <si>
    <t>Making Democracy - Aushandlungen von Freiheit, Gleichheit und Solidarität im Alltag</t>
  </si>
  <si>
    <t>Hinter der glitzernden Fassade : Über die Macht der Informalität in der Kaukasusrepublik Aserbaidschan</t>
  </si>
  <si>
    <t>Monospace and Multiverse : Exploring Space with Actor-Network-Theory</t>
  </si>
  <si>
    <t>Islam, Gender, Intersektionalität : Bildungswege junger Frauen in der Schweiz</t>
  </si>
  <si>
    <t>Nachhaltige Lebensführung : Praktiken und Transformationspotenziale gemeinschaftlicher Wohnprojekte</t>
  </si>
  <si>
    <t>Soziologie der Nachhaltigkeit</t>
  </si>
  <si>
    <t>Arts in Context - Kunst, Forschung, Gesellschaft</t>
  </si>
  <si>
    <t>Re-Cording Lives : Governing Asylum in Switzerland and the Need to Resolve</t>
  </si>
  <si>
    <t>Wikis und die Wikipedia verstehen : Eine Einführung</t>
  </si>
  <si>
    <t>Stuttgart 21 - eine Rekonstruktion der Proteste : Soziale Bewegungen in Zeiten der Postdemokratie</t>
  </si>
  <si>
    <t>Postwachstumsgeographien : Raumbezüge diverser und alternativer Ökonomien</t>
  </si>
  <si>
    <t>How to Relate : Wissen, Künste, Praktiken / Knowledge, Arts, Practices</t>
  </si>
  <si>
    <t>Erdgeschichte(n) und Entwicklungsromane : Geologisches Wissen und Subjektkonstitution in der Poetologie der frühen Moderne. Goethes Wanderjahre und Stifters Nachsommer</t>
  </si>
  <si>
    <t>Fridays for Future - Die Jugend gegen den Klimawandel : Konturen der weltweiten Protestbewegung</t>
  </si>
  <si>
    <t>»Wir machen Stoff« : Die Gewerkschaft Textil-Bekleidung 1949-1998</t>
  </si>
  <si>
    <t>Kulturen des Reparierens : Dinge - Wissen - Praktiken</t>
  </si>
  <si>
    <t>War der Coronavirus-Lockdown notwendig? : Versuch einer wissenschaftlichen Antwort</t>
  </si>
  <si>
    <t>Bürgerwehren in Deutschland : Zwischen Nachbarschaftshilfe und rechtsextremer Raumergreifung</t>
  </si>
  <si>
    <t>Achtsamkeit als kulturelle Praxis : Zu den Selbst-Welt-Modellen eines populären Phänomens</t>
  </si>
  <si>
    <t>Friedensgutachten 2021 : Europa kann mehr!</t>
  </si>
  <si>
    <t>Epistemische Gewalt : Wissen und Herrschaft in der kolonialen Moderne</t>
  </si>
  <si>
    <t>Authority and Authorship in Medieval and Seventeenth Century Women's Visionary Writings</t>
  </si>
  <si>
    <t>Religion in Flüchtlingsunterkünften : Sozialanthropologische Perspektiven</t>
  </si>
  <si>
    <t>»Verworfene Frauenzimmer« : Geschlecht als Kategorie des Wissens vor dem Strafgericht</t>
  </si>
  <si>
    <t>Das zweite konvivialistische Manifest : Für eine post-neoliberale Welt</t>
  </si>
  <si>
    <t>Politik in Fernsehserien : Analysen und Fallstudien zu House of Cards, Borgen &amp; Co.</t>
  </si>
  <si>
    <t>Zeit im Lebensverlauf : Ein Glossar</t>
  </si>
  <si>
    <t>Die Produktion der Konsumgesellschaft : Eine kulturökonomische Grundlegung der feinen Unterschiede</t>
  </si>
  <si>
    <t>After Confucius : Studies in Early Chinese Philosophy</t>
  </si>
  <si>
    <t>University of Hawaii Press</t>
  </si>
  <si>
    <t>The New Meatways and Sustainability : Discourses and Social Practices</t>
  </si>
  <si>
    <t>Democratic Citizenship in Flux : Conceptions of Citizenship in the Light of Political and Social Fragmentation</t>
  </si>
  <si>
    <t>Im Rauschen der Schweizer Alpen : Eine auditive Ethnographie zu Klang und Kulturpolitik des internationalen Radios</t>
  </si>
  <si>
    <t>Judith Butler und die Theologie der Freiheit</t>
  </si>
  <si>
    <t>Religiöse Pluralitäten - Umbrüche in der Wahrnehmung religiöser Vielfalt in Deutschland</t>
  </si>
  <si>
    <t>Wagner - Weimar - Eisenach : Richard Wagner im Spannungsfeld von Kultur und Politik</t>
  </si>
  <si>
    <t>Hegemonie und Kulturkampf : Verknüpfung von Neoliberalismus und Islam in der Türkei</t>
  </si>
  <si>
    <t>Achtsamkeit und Meditation im Hochschulkontext : 10 Jahre Münchner Modell</t>
  </si>
  <si>
    <t>Mindfulness and Meditation at University : 10 Years of the Munich Model</t>
  </si>
  <si>
    <t>Material Cultures of Psychiatry</t>
  </si>
  <si>
    <t>Normalität und Subjektivierung : Eine biographische Untersuchung im Übergang aus der stationären Jugendhilfe</t>
  </si>
  <si>
    <t>Arbeit an der Kultur : Margaret Mead, Gregory Bateson und die amerikanische Anthropologie, 1930-1950</t>
  </si>
  <si>
    <t>Wahrheit und Revolution : Studien zur Grundproblematik der Marx'schen Gesellschaftskritik</t>
  </si>
  <si>
    <t>»Truth« and Fiction : Conspiracy Theories in Eastern European Culture and Literature</t>
  </si>
  <si>
    <t>100 Jahre Politikwissenschaft in Hamburg : Bruchstücke zu einer Institutsgeschichte</t>
  </si>
  <si>
    <t>Zwischen bürgerlicher Identität und musikalischer Profession : Die Geschichte der Philharmonischen Gesellschaft Bremen im 19. Jahrhundert</t>
  </si>
  <si>
    <t>Faking, Forging, Counterfeiting : Discredited Practices at the Margins of Mimesis</t>
  </si>
  <si>
    <t>Geflüchtetenprotest und Gewerkschaften : Verhandlungen von Repräsentation im deutschen Arbeits- und Migrationsregime</t>
  </si>
  <si>
    <t>Muslimischsein im Sicherheitsdiskurs : Eine rekonstruktive Studie über den Umgang mit dem Bedrohungsszenario</t>
  </si>
  <si>
    <t>Obskure Organisationen : Logen, Clubs und Männerbünde als organisationssoziologische Sonderfälle</t>
  </si>
  <si>
    <t>Migration in den Alpen : Handlungsspielräume und Perspektiven</t>
  </si>
  <si>
    <t>HipHop aus Österreich : Lokale Aspekte einer globalen Kultur</t>
  </si>
  <si>
    <t>Flucht und Vertreibung in europäischen Museen : Deutsche, polnische und tschechische Perspektiven im Vergleich</t>
  </si>
  <si>
    <t>Ordnungen des Nationalen und die geteilte Welt : Zur Praxis Auswärtiger Kulturpolitik als Konfliktprävention</t>
  </si>
  <si>
    <t>Medienqualität : Diskurse aus dem Grimme-Institut zu Fernsehen, Internet und Radio</t>
  </si>
  <si>
    <t>Digital Image Systems : Photography and New Technologies at the Düsseldorf School</t>
  </si>
  <si>
    <t>Geflüchtete im Betrieb : Integration und Arbeitsbeziehungen zwischen Ressentiment und Kollegialität</t>
  </si>
  <si>
    <t>Die multiple Identität der Technik : Eine Innovationsbiographie der Augmented Reality-Technologie</t>
  </si>
  <si>
    <t>Transfer in der Lehre : Zivilgesellschaftliches Engagement als Zumutung oder Chance für die Hochschulen?</t>
  </si>
  <si>
    <t>Musical Composition in the Context of Globalization : New Perspectives on Music History in the 20th and 21st Century</t>
  </si>
  <si>
    <t>Der Hochverrat des Amtmanns Povel Juel : Ein mikrohistorischer Streifzug durch Europas Norden der Frühen Neuzeit</t>
  </si>
  <si>
    <t>The Production of Consumer Society : Cultural-Economic Principles of Distinction</t>
  </si>
  <si>
    <t>Philosophie des HipHop : Performen, was an der Zeit ist</t>
  </si>
  <si>
    <t>Fernbeziehungen : Diffraktionen zu Intimität in medialen Zwischenräumen</t>
  </si>
  <si>
    <t>Bildspuren - Sprachspuren : Postkarten als Quellen zur Mehrsprachigkeit in der späten Habsburger Monarchie</t>
  </si>
  <si>
    <t>Intersektionale Sozialforschung</t>
  </si>
  <si>
    <t>Konversation und Geselligkeit : Praxis französischer Salonkultur im Spannungsfeld von Idealität und Realität</t>
  </si>
  <si>
    <t>Strange Blood : The Rise and Fall of Lamb Blood Transfusion in 19th Century Medicine and Beyond</t>
  </si>
  <si>
    <t>Hoffnung auf eine bessere Vergangenheit : Kollektivierungsdiskurse und ihre Codes der Verräumlichung</t>
  </si>
  <si>
    <t>Liquid Democracy in Deutschland : Zur Zukunft digitaler politischer Entscheidungsfindung nach dem Niedergang der Piratenpartei</t>
  </si>
  <si>
    <t>Digitalisierung als Distributivkraft : Über das Neue am digitalen Kapitalismus</t>
  </si>
  <si>
    <t>Politik in der digitalen Gesellschaft : Zentrale Problemfelder und Forschungsperspektiven</t>
  </si>
  <si>
    <t>Ambivalenzen pädagogischen Handelns : Reflexionen der Betreuung von Menschen mit ›geistiger Behinderung‹</t>
  </si>
  <si>
    <t>Konzepte der Interkulturalität in der Germanistik weltweit</t>
  </si>
  <si>
    <t>Wie können wir den Schaden maximieren? : Gestaltung trotz Komplexität. Beiträge zu einem Public Interest Design</t>
  </si>
  <si>
    <t>Ver-rückte Expertisen : Ethnografische Perspektiven auf Genesungsbegleitung</t>
  </si>
  <si>
    <t>Co-Parenting und die Zukunft der Liebe : Über post-romantische Elternschaft</t>
  </si>
  <si>
    <t>Care trans_formieren : Eine ethnographische Studie zu trans und nicht-binärer Sorgearbeit</t>
  </si>
  <si>
    <t>Gilles Deleuze und die Anyone Corporation : Übersetzungsprozesse zwischen Philosophie und Architektur</t>
  </si>
  <si>
    <t>Legal Pluralism in Ethiopia : Actors, Challenges and Solutions</t>
  </si>
  <si>
    <t>Der Weltanschauungsroman 2. Ordnung : Probleme literarischer Modellbildung bei Hermann Broch und Robert Musil</t>
  </si>
  <si>
    <t>Die Dialektik der Angewiesenheit : Das sozialpolitische Werk von Eduard Heimann neu lesen</t>
  </si>
  <si>
    <t>Thinking of Space Relationally : Critical Realism Beyond Relativism - A Manifold Study of the Artworld in Beijing</t>
  </si>
  <si>
    <t>Komplexes Erzählen - Literatur auf 2+n-ter Stufe : Zu einer Theorie literarischer Komplexität</t>
  </si>
  <si>
    <t>Die Energiewende im Bundestag: ein politisches Transformationsprojekt? : Eine Diskursanalyse aus feministischer und sozial-ökologischer Perspektive</t>
  </si>
  <si>
    <t>Creating Learning Spaces : Experiences from Educational Fields</t>
  </si>
  <si>
    <t>Leben weben : (Auto-)Biographische Praktiken russischer Autorinnen und Autoren im Internet</t>
  </si>
  <si>
    <t>Praxeologie in der Historischen Bildungsforschung : Möglichkeiten und Grenzen eines Forschungsansatzes</t>
  </si>
  <si>
    <t>Ausbildung statt Ausgrenzung : Wie interkulturelle Öffnung und Diversity-Orientierung in Berlins Öffentlichem Dienst und in Landesbetrieben gelingen können</t>
  </si>
  <si>
    <t>Freiheit wagen! : Ein Essay zur Revolution im 21. Jahrhundert</t>
  </si>
  <si>
    <t>Narratologie und Geschichte : Eine Analyse schottischer Historiografie am Beispiel des »Scotichronicon« und des »Bruce«</t>
  </si>
  <si>
    <t>Urban Resilience in a Global Context : Actors, Narratives, and Temporalities</t>
  </si>
  <si>
    <t>Killing and Being Killed: Bodies in Battle : Perspectives on Fighters in the Middle Ages</t>
  </si>
  <si>
    <t>Care Home Stories : Aging, Disability, and Long-Term Residential Care</t>
  </si>
  <si>
    <t>Rechtes Denken, rechte Räume? : Demokratiefeindliche Entwicklungen und ihre räumlichen Kontexte</t>
  </si>
  <si>
    <t>Practices of Speculation : Modeling, Embodiment, Figuration</t>
  </si>
  <si>
    <t>Postmigrantische Visionen : Erfahrungen - Ideen - Reflexionen</t>
  </si>
  <si>
    <t>Tanz der Dinge/Things that dance : Jahrbuch TanzForschung 2019</t>
  </si>
  <si>
    <t>Kritik - Selbstaffirmation - Othering : Immanuel Kants Denken der Zweckmässigkeit und die koloniale Episteme</t>
  </si>
  <si>
    <t>Kritik der Gegenwart - Politische Theorie als kritische Zeitdiagnose</t>
  </si>
  <si>
    <t>Von Tierdaten zu Datentieren : Eine Mediengeschichte der elektronischen Tierkennzeichnung und des datengestützten Herdenmanagements</t>
  </si>
  <si>
    <t>Annäherungen an das Unaussprechliche : Ästhetische Erfahrung in kollektiven religiösen Praktiken</t>
  </si>
  <si>
    <t>Anders lernen, arbeiten und leben : Für eine Transformation von Pädagogik und Gesellschaft</t>
  </si>
  <si>
    <t>Soziale Welten der Erwachsenenbildung : Eine professionstheoretische Verortung</t>
  </si>
  <si>
    <t>Im Zwischenraum der beschleunigten Moderne : Eine Bau- und Kulturgeschichte des Wartens auf Eisenbahnen, 1830-1935</t>
  </si>
  <si>
    <t>Mistrust : Ethnographic Approximations</t>
  </si>
  <si>
    <t>Biopolitics and Historic Justice : Coming to Terms with the Injuries of Normality</t>
  </si>
  <si>
    <t>Baustelle Elektromobilität : Sozialwissenschaftliche Perspektiven auf die Transformation der (Auto-)Mobilität</t>
  </si>
  <si>
    <t>Die Kunst des Büchermachens: Autorschaft und Materialität der Literatur zwischen 1765 und 1815</t>
  </si>
  <si>
    <t>Socializing Development : Transnational Social Movement Advocacy and the Human Rights Accountability of Multilateral Development Banks</t>
  </si>
  <si>
    <t>Democracy, Markets and the Commons : Towards a Reconciliation of Freedom and Ecology</t>
  </si>
  <si>
    <t>Anti-Genderismus in Europa : Allianzen von Rechtspopulismus und religiösem Fundamentalismus. Mobilisierung - Vernetzung - Transformation</t>
  </si>
  <si>
    <t>Southeast Asian Transformations : Urban and Rural Developments in the 21st Century</t>
  </si>
  <si>
    <t>European Regions : Perspectives, Trends and Developments in the 21st Century</t>
  </si>
  <si>
    <t>A Poetics of Neurosis : Narratives of Normalcy and Disorder in Cultural and Literary Texts</t>
  </si>
  <si>
    <t>Sexualität - Geschlecht - Affekt : Sexuelle Scripts als Palimpsest in literarischen Erzähltexten und zeitgenössischen theoretischen Debatten</t>
  </si>
  <si>
    <t>Bally - A History of Footwear in the Interwar Period</t>
  </si>
  <si>
    <t>Bildungs- und Berufsberatung in der Migrationsgesellschaft : Pädagogische Perspektiven auf Beratung zur Anerkennung im Ausland erworbener Qualifikationen</t>
  </si>
  <si>
    <t>Segregation, Inequality, and Urban Development : Forced Evictions and Criminalisation Practices in Present-Day South Africa</t>
  </si>
  <si>
    <t>Moschee-Neubauten : Institutionalisierung, Bedeutung und Sichtbarkeit in England und der Schweiz</t>
  </si>
  <si>
    <t>Kosmopolitische Pioniere : »Inder_innen der zweiten Generation« aus der Schweiz zwischen Assimilation, Exotik und globaler Moderne</t>
  </si>
  <si>
    <t>Die Ästhetisierung und Politisierung des Todes : Handyvideos von Gewalt und Tod im Syrienkonflikt</t>
  </si>
  <si>
    <t>Multispezies-Ethnographie : Zur Methodik einer ganzheitlichen Erforschung von Mensch, Tier, Natur und Kultur</t>
  </si>
  <si>
    <t>Trump - ein amerikanischer Traum? : Warum Amerika sich verwählt hat</t>
  </si>
  <si>
    <t>Political Participation in the Digital Age : An Ethnographic Comparison Between Iceland and Germany</t>
  </si>
  <si>
    <t>Nach der »Willkommenskultur« : Geflüchtete zwischen umkämpfter Teilhabe und zivilgesellschaftlicher Solidarität</t>
  </si>
  <si>
    <t>Kampf um Mitbestimmung : Antworten auf »Union Busting« und die Behinderung von Betriebsräten</t>
  </si>
  <si>
    <t>This Is Not an Atlas : A Global Collection of Counter-Cartographies</t>
  </si>
  <si>
    <t>Robuste Langzeit-Governance bei der Endlagersuche : Soziotechnische Herausforderungen im Umgang mit hochradioaktiven Abfällen</t>
  </si>
  <si>
    <t>Transgressive Truths and Flattering Lies : The Poetics and Ethics of Anglophone Arab Representations</t>
  </si>
  <si>
    <t>Die Evolution der Religion : Ein soziologischer Grundriss</t>
  </si>
  <si>
    <t>Religious Fundamentalism in the Age of Pandemic</t>
  </si>
  <si>
    <t>Media Agency - Neue Ansätze zur Medialität in der Architektur</t>
  </si>
  <si>
    <t>Leistungsklassen und Geschlechtertests : Die heteronormative Logik des Sports</t>
  </si>
  <si>
    <t>Democratic and Authoritarian Political Systems in 21st Century World Society : Vol. 1 - Differentiation, Inclusion, Responsiveness</t>
  </si>
  <si>
    <t>Friedensgutachten 2020 : Im Schatten der Pandemie: letzte Chance für Europa</t>
  </si>
  <si>
    <t>Armut und Umweltschutz : Potenziale und Barrieren im urbanen Raum Westafrikas</t>
  </si>
  <si>
    <t>Wasser als Gemeinsames : Potenziale und Probleme von Commoning bei Konflikten der Wasserbewirtschaftung</t>
  </si>
  <si>
    <t>Perspektiven pragmatischer Medienphilosophie : Grundlagen - Anwendungen - Praktiken</t>
  </si>
  <si>
    <t>The Redundant City : A Multi-Site Enquiry into Urban Narratives of Conflict and Change</t>
  </si>
  <si>
    <t>Radikalislamische YouTube-Propaganda : Eine qualitative Rezeptionsstudie unter jungen Erwachsenen</t>
  </si>
  <si>
    <t>Das quantifizierte Selbst : Zur Genealogie des Self-Trackings</t>
  </si>
  <si>
    <t>Krankheit in Digitalen Spielen : Interdisziplinäre Betrachtungen</t>
  </si>
  <si>
    <t>Publikationsberatung an Universitäten : Ein Praxisleitfaden zum Aufbau publikationsunterstützender Services</t>
  </si>
  <si>
    <t>Markeninszenierung in Japan : Zur narrativen Konstruktion der Lifestyle-Marken »Muji« und »Uniqlo«</t>
  </si>
  <si>
    <t>Moving Images : Mediating Migration as Crisis</t>
  </si>
  <si>
    <t>Technologisches Regieren : Der Aufstieg des Netzwerk-Denkens in der Krise der Moderne. Foucault, Luhmann und die Kybernetik</t>
  </si>
  <si>
    <t>TransCoding - From `Highbrow Art' to Participatory Culture : Social Media - Art - Research</t>
  </si>
  <si>
    <t>Zivilgesellschaft in der Bundesrepublik Deutschland : Aufbrüche, Umbrüche, Ausblicke</t>
  </si>
  <si>
    <t>Writing Emotions : Theoretical Concepts and Selected Case Studies in Literature</t>
  </si>
  <si>
    <t>The Wealthy, the Brilliant, the Few : Elite Education in Contemporary American Discourse</t>
  </si>
  <si>
    <t>Envisioning the World: Mapping and Making the Global</t>
  </si>
  <si>
    <t>EU-Staatlichkeit zwischen Ausbau und Stagnation : Kritische Perspektiven auf die Transformationsprozesse in der Euro-Krise</t>
  </si>
  <si>
    <t>Depression und Biographie : Krankheitserfahrungen migrierter Frauen in der Schweiz</t>
  </si>
  <si>
    <t>Das Indernet : Eine rassismuskritische Internet-Ethnografie</t>
  </si>
  <si>
    <t>Moscheeleben in Deutschland : Eine Ethnographie zu Islamischem Wissen, Tradition und religiöser Autorität</t>
  </si>
  <si>
    <t>Inklusion im kommunalen Raum : Sozialraumentwicklung im Kontext von Behinderung, Flucht und Demenz</t>
  </si>
  <si>
    <t>Refugee Routes : Telling, Looking, Protesting, Redressing</t>
  </si>
  <si>
    <t>Währung - Krise - Emotion : Kollektive Wahrnehmungsweisen von Wirtschaftskrisen</t>
  </si>
  <si>
    <t>Good White Queers? : Racism and Whiteness in Queer U.S. Comics</t>
  </si>
  <si>
    <t>Energiewende und Megatrends : Wechselwirkungen von globaler Gesellschaftsentwicklung und Nachhaltigkeit</t>
  </si>
  <si>
    <t>Tanz - Diversität - Inklusion : Jahrbuch TanzForschung 2018</t>
  </si>
  <si>
    <t>Beyond the Mirror : Seeing in Art History and Visual Culture Studies</t>
  </si>
  <si>
    <t>Sojourners and Settlers : Chinese Migrants in Hawaii</t>
  </si>
  <si>
    <t>Competition in World Politics : Knowledge, Strategies and Institutions</t>
  </si>
  <si>
    <t>Am Ende der Globalisierung : Über die Refiguration von Räumen</t>
  </si>
  <si>
    <t>Geschlechtsspezifische Gewalt in Zeiten der Digitalisierung : Formen und Interventionsstrategien</t>
  </si>
  <si>
    <t>Der Offenbacher Ansatz : Zur Theorie der Produktsprache</t>
  </si>
  <si>
    <t>Menschenrechte im Unternehmen durchsetzen : Internationale Arbeitnehmerrechte: Die UN-Leitprinzipien als Hebel für Betriebsräte und Gewerkschaften</t>
  </si>
  <si>
    <t>»Wir machen Kunst für Künstler« : Lohnarbeit in Kunstmanufakturen. Eine ethnografische Studie</t>
  </si>
  <si>
    <t>Praktiken der (Im-)Mobilisierung : Lager, Sammelunterkünfte und Ankerzentren im Kontext von Asylregimen</t>
  </si>
  <si>
    <t>Generative Bildarbeit : Zum transformativen Potential fotografischer Praxis</t>
  </si>
  <si>
    <t>Überwachen und konsumieren : Kontrolle, Normen und soziale Beziehungen in der digitalen Gesellschaft</t>
  </si>
  <si>
    <t>Grenzobjekte und Medienforschung : (hg. von Sebastian Gießmann und Nadine Taha)</t>
  </si>
  <si>
    <t>Der transgressive Charakter der Pornografie : Philosophische und feministische Positionen</t>
  </si>
  <si>
    <t>Pop-Musik sammeln : Zehn ethnografische Tracks zwischen Plattenladen und Streamingportal</t>
  </si>
  <si>
    <t>Alltag in der Moschee : Eine Feldforschung jenseits von Integrationsfragen</t>
  </si>
  <si>
    <t>Transdifferenz und Transkulturalität : Migration und Alterität in den Literaturen und Kulturen Österreich-Ungarns</t>
  </si>
  <si>
    <t>Die Welt neu denken lernen - Plädoyer für eine planetare Politik : Lehren aus Corona und anderen existentiellen Krisen</t>
  </si>
  <si>
    <t>Objekte im Netz : Wissenschaftliche Sammlungen im digitalen Wandel</t>
  </si>
  <si>
    <t>Thinking the Problematic : Genealogies and Explorations between Philosophy and the Sciences</t>
  </si>
  <si>
    <t>Mikro-Utopien der Architektur : Das utopische Moment architektonischer Minimaltechniken</t>
  </si>
  <si>
    <t>Use Of Patented Traditional Chinese Medicine Against Covid-19: A Practical Manual</t>
  </si>
  <si>
    <t>Biocomputing 2021 - Proceedings Of The Pacific Symposium</t>
  </si>
  <si>
    <t>The Buddhist Poetry of the Great Kamo Priestess : Daisaiin Senshi and Hosshin Wakashu</t>
  </si>
  <si>
    <t>Berufs- und Arbeitswelt in der Politischen Bildung : Über Bildungs- und Berufsvorstellungen Jugendlicher Am Ende der Sekundarstufe I in Deutschland Und Österreich</t>
  </si>
  <si>
    <t>Active Assisted Living : Anwendungsszenarien und lösungsansätze Für ein Selbstbestimmtes Leben</t>
  </si>
  <si>
    <t>Brasilien : $bEine Einführung /$cPeter Birle (Hrsg. )</t>
  </si>
  <si>
    <t>Iberoamericana Editorial Vervuert</t>
  </si>
  <si>
    <t>Sublinear Computation Paradigm : Algorithmic Revolution in the Big Data Era</t>
  </si>
  <si>
    <t>Mutation Breeding, Genetic Diversity and Crop Adaptation to Climate Change</t>
  </si>
  <si>
    <t>Ancient Greek I : A 21st Century Approach</t>
  </si>
  <si>
    <t>Circulation and Control : Artistic Culture and Intellectual Property in the Nineteenth Century</t>
  </si>
  <si>
    <t>Piracy in World History</t>
  </si>
  <si>
    <t>Agile Processes in Software Engineering and Extreme Programming - Workshops : XP 2021 Workshops, Virtual Event, June 14-18, 2021, Revised Selected Papers</t>
  </si>
  <si>
    <t>Von Einem Traum Getrieben : Wie der Physiker Rolf Widerøe Den Teilchenbeschleuniger Erfand</t>
  </si>
  <si>
    <t>Climate Change and Community Resilience : Insights from South Asia</t>
  </si>
  <si>
    <t>Educational Perspectives on Mediality and Subjectivation : Discourse, Power and Analysis</t>
  </si>
  <si>
    <t>Security-Aware Design of Cyber-Physical Systems for Control Applications</t>
  </si>
  <si>
    <t>A path along deep learning for medical image analysis : With focus on burn wounds and brain tumors</t>
  </si>
  <si>
    <t>”Varför mobbar vi ens?” : Mobbningens sociala processer i två svenska mellanstadieskolor</t>
  </si>
  <si>
    <t>Performance and Optimization Aspects of Time Critical Networking</t>
  </si>
  <si>
    <t>How to Practice Academic Medicine and Publish from Developing Countries? : A Practical Guide</t>
  </si>
  <si>
    <t>Pandemics: Insurance and Social Protection</t>
  </si>
  <si>
    <t>Transforming Markets : A Development Bank for the 21st Century. a History of the EBRD, Volume 2</t>
  </si>
  <si>
    <t>Understanding Well-Being Data : Improving Social and Cultural Policy, Practice and Research</t>
  </si>
  <si>
    <t>Brand Content und Brand Image : Experimentelle Studie über Die Wirkung Von Brand Content Auf Imagedimensionen</t>
  </si>
  <si>
    <t>Towards a Sustainable Future - Life Cycle Management : Challenges and Prospects</t>
  </si>
  <si>
    <t>Russische Errungenschaften in der Physiologie der Verdauung : Vom Späten 19. Bis Zum Beginnenden 20. Jahrhundert</t>
  </si>
  <si>
    <t>Principles and Pedagogies in Jewish Education</t>
  </si>
  <si>
    <t>Arzneimittel-Kompass 2021 : Hochpreisige Arzneimittel - Herausforderung und Perspektiven</t>
  </si>
  <si>
    <t>Access to Medicines and Vaccines : Implementing Flexibilities under Intellectual Property Law</t>
  </si>
  <si>
    <t>Chosen Peoples : Christianity and Political Imagination in South Sudan</t>
  </si>
  <si>
    <t>To Make Negro Literature : Writing, Literary Practice, and African American Authorship</t>
  </si>
  <si>
    <t>Cybersecurity in Poland : Legal Aspects</t>
  </si>
  <si>
    <t>Digitalisierung in Studium und Lehre Gemeinsam Gestalten : Innovative Formate, Strategien und Netzwerke</t>
  </si>
  <si>
    <t>Gouverner la Biodiversité Ou Comment Réussir à échouer</t>
  </si>
  <si>
    <t>The CIA in Ecuador</t>
  </si>
  <si>
    <t>Moving Home : Gender, Place, and Travel Writing in the Early Black Atlantic</t>
  </si>
  <si>
    <t>Colonial Debts : The Case of Puerto Rico</t>
  </si>
  <si>
    <t>The Comprehensive Cancer Center : Development, Integration, and Implementation</t>
  </si>
  <si>
    <t>Open Science: the Very Idea</t>
  </si>
  <si>
    <t>Studying Morphology Formation and Charge Separation in Organic Solar Cells</t>
  </si>
  <si>
    <t>Microvascular effects of insulin in the skin</t>
  </si>
  <si>
    <t>Physics of Earth's Radiation Belts : Theory and Observations</t>
  </si>
  <si>
    <t>Creating Resilient Futures : Integrating Disaster Risk Reduction, Sustainable Development Goals and Climate Change Adaptation Agendas</t>
  </si>
  <si>
    <t>Sociological Debates on Gestational Surrogacy : Between Legitimation and International Abolition</t>
  </si>
  <si>
    <t>China and the West : Music, Representation, and Reception</t>
  </si>
  <si>
    <t>Learning Cultural Literacy Through Creative Practices in Schools : Cultural and Multimodal Approaches to Meaning-Making</t>
  </si>
  <si>
    <t>World Protests : A Study of Key Protest Issues in the 21st Century</t>
  </si>
  <si>
    <t>Macroeconomic Modelling of R&amp;d and Innovation Policies</t>
  </si>
  <si>
    <t>Partial Least Squares Structural Equation Modeling (PLS-SEM) Using R : A Workbook</t>
  </si>
  <si>
    <t>The Anatomy of Post-Communist Regimes : A Conceptual Framework</t>
  </si>
  <si>
    <t>Making Muslim Women European : Voluntary Associations, Gender, and Islam in Post-Ottoman Bosnia and Yugoslavia (1878-1941)</t>
  </si>
  <si>
    <t>The Tsar, the Empire, and the Nation : Dilemmas of Nationalization in Russia's Western Borderlands, 1905-1915</t>
  </si>
  <si>
    <t>Nation and Migration : How Citizens in Europe Are Coping with Xenophobia</t>
  </si>
  <si>
    <t>Documentary Making for Digital Humanists</t>
  </si>
  <si>
    <t>Forms of Life and Subjectivity : Rethinking Sartre's Philosophy</t>
  </si>
  <si>
    <t>Mobilitäts- und Transportrecht in Europa : Bestandsaufnahme und Zukunftsperspektiven</t>
  </si>
  <si>
    <t>Epitaxial growth, structure, and thermoelectric properties of CaMn- and V-based oxides</t>
  </si>
  <si>
    <t>Acoustic Platform for MXene Synthesis and Electrochemical Behaviour of i-MXenes in Aqueous Electrolytes</t>
  </si>
  <si>
    <t>On lymphedema of the lower limbs after treatment of endometrial cancer : with emphasis on incidence, quality of life, risk factors, and health economy</t>
  </si>
  <si>
    <t>Multi-omic time-series analysis of T-cells as a model for identification of biomarkers, treatments and upstream disease regulators</t>
  </si>
  <si>
    <t>Surgery in Armed Conflicts : Predicting surgical treatment needs and improving resource use in resource-constrained settings</t>
  </si>
  <si>
    <t>Tailoring Fluorescent Probes for Organelle-Specific Imaging and Sensing</t>
  </si>
  <si>
    <t>Image dipoles and polarons in organic semiconductors</t>
  </si>
  <si>
    <t>Computational study of Polymerization, Crystallization and Mechanical Properties of Conducting Polymers</t>
  </si>
  <si>
    <t>Deep Integration, Global Firms, and Technology Spillovers</t>
  </si>
  <si>
    <t>Russia's Role in the Contemporary International Agri-Food Trade System</t>
  </si>
  <si>
    <t>Dinaric Perspectives on TIMSS 2019 : Teaching and Learning Mathematics and Science in South-Eastern Europe</t>
  </si>
  <si>
    <t>The Post-Screen Through Virtual Reality, Holograms and Light Projections : Where Screen Boundaries Lie</t>
  </si>
  <si>
    <t>Better Work : The Impact of Automation, Flexibilization and Intensification of Work</t>
  </si>
  <si>
    <t>Surveying Climate-Relevant Behavior : Measurements, Obstacles, and Implications</t>
  </si>
  <si>
    <t>Periphery and Small Ones Matter : Interplay of Policy and Social Capital</t>
  </si>
  <si>
    <t>Groundwater Overexploitation in the North China Plain: a Path to Sustainability</t>
  </si>
  <si>
    <t>Automotive Remanufacturing in a Changing Market : Challenges and Opportunities in a market with a growing share of electric cars</t>
  </si>
  <si>
    <t>Developing strategies for improved economic performance and reduced climate impact of landfill mining in Europe</t>
  </si>
  <si>
    <t>Managing variation in hospital patient flows</t>
  </si>
  <si>
    <t>Perinatal risk factors for type 1 diabetes in children and adolescents</t>
  </si>
  <si>
    <t>Black Campus Life : The Worlds Black Students Make at a Historically White Institution</t>
  </si>
  <si>
    <t>The Swedish FrameNet++ : Harmonization, Integration, Method Development and Practical Language Technology Applications</t>
  </si>
  <si>
    <t>Understanding Energy Innovation : Learning from Smart Grid Experiments</t>
  </si>
  <si>
    <t>Sustainable Mobility for Island Destinations</t>
  </si>
  <si>
    <t>A Resource for Quantum Computation</t>
  </si>
  <si>
    <t>Infertility in Men in Relation to Their Birth Characteristics</t>
  </si>
  <si>
    <t>A parental perspective on child chronic kidney disease : The lived experience of caregiving in Portugal</t>
  </si>
  <si>
    <t>Dementia, Sense-making and Evaluations : Implications for Communication</t>
  </si>
  <si>
    <t>Urban Matters : Current Approaches in Variationist Sociolinguistics</t>
  </si>
  <si>
    <t>Economy Studies : A Guide to Rethinking Economics Education</t>
  </si>
  <si>
    <t>Integrated Nematode Management : State-Of-the-Art and Visions for the Future</t>
  </si>
  <si>
    <t>Une écologie de L'alimentation</t>
  </si>
  <si>
    <t>Authorizing Early Modern European Women : From Biography to Biofiction</t>
  </si>
  <si>
    <t>Towards Resilient Organizations and Societies : A Cross-Sectoral and Multi-Disciplinary Perspective</t>
  </si>
  <si>
    <t>The Distributed University for Sustainable Higher Education</t>
  </si>
  <si>
    <t>Urban Inequality and Segregation in Europe and China : Towards a New Dialogue</t>
  </si>
  <si>
    <t>Development and Characterization of a Dispersion-Encoded Method for Low-Coherence Interferometry</t>
  </si>
  <si>
    <t>Freiwilliges Engagement in Deutschland : Der Deutsche Freiwilligensurvey 2019</t>
  </si>
  <si>
    <t>Continental Philosophy of Technoscience</t>
  </si>
  <si>
    <t>Uprooting Bias in the Academy : Lessons from the Field</t>
  </si>
  <si>
    <t>Perspectives on Digital Humanism</t>
  </si>
  <si>
    <t>Greening the Greyfields : New Models for Regenerating the Middle Suburbs of Low-Density Cities</t>
  </si>
  <si>
    <t>Life Skills Education for Youth : Critical Perspectives</t>
  </si>
  <si>
    <t>Research Methodologies and Ethical Challenges in Digital Migration Studies : Caring for (Big) Data?</t>
  </si>
  <si>
    <t>Land Governance and Gender : The Tenure-Gender Nexus in Land Management and Land Policy</t>
  </si>
  <si>
    <t>Networks and Geographies of Global Social Policy Diffusion : Culture, Economy, and Colonial Legacies</t>
  </si>
  <si>
    <t>Climate-Smart Forestry in Mountain Regions</t>
  </si>
  <si>
    <t>Swiss Energy Governance : Political, Economic and Legal Challenges and Opportunities in the Energy Transition</t>
  </si>
  <si>
    <t>Japan Nutrition</t>
  </si>
  <si>
    <t>Künstliche Intelligenz in der Forschung : Neue Möglichkeiten und Herausforderungen Für Die Wissenschaft</t>
  </si>
  <si>
    <t>Empire under the Microscope : Parasitology and the British Literary Imagination, 1885-1935</t>
  </si>
  <si>
    <t>Clinical Impact of Bloodstream Infections – Characterization, Risk factors and Outcome</t>
  </si>
  <si>
    <t>Parasites, Pussycats and Psychosis : The Unknown Dangers of Human Toxoplasmosis</t>
  </si>
  <si>
    <t>Méthodes d'investigation de l'alimentation et des Mangeurs : Miam</t>
  </si>
  <si>
    <t>Originality, Imitation, and Plagiarism : Teaching Writing in the Digital Age</t>
  </si>
  <si>
    <t>The Hyperlinked Society : Questioning Connections in the Digital Age</t>
  </si>
  <si>
    <t>Silent Hill : The Terror Engine</t>
  </si>
  <si>
    <t>Iron Will : Global Extractivism and Mining Resistance in Brazil and India</t>
  </si>
  <si>
    <t>Alienation Effects : Performance and Self-Management in Yugoslavia, 1945-91</t>
  </si>
  <si>
    <t>Owning the Olympics : Narratives of the New China</t>
  </si>
  <si>
    <t>Myst and Riven : The World of the D'ni</t>
  </si>
  <si>
    <t>Is William Martinez Not Our Brother? : Twenty Years of the Prison Creative Arts Project</t>
  </si>
  <si>
    <t>Soziale Armut : Wahrnehmung und Bewältigung Von Armut in Sozialen Netzwerken</t>
  </si>
  <si>
    <t>Socio-Life Science and the COVID-19 Outbreak : Public Health and Public Policy</t>
  </si>
  <si>
    <t>China's Long-Term Low-Carbon Development Strategies and Pathways : Comprehensive Report</t>
  </si>
  <si>
    <t>The Gender Regime of Anti-Liberal Hungary</t>
  </si>
  <si>
    <t>Summation-by-parts formulations for flow problems</t>
  </si>
  <si>
    <t>Real-time multi-exposure laser speckle contrast imaging of skin microcirculatory perfusion</t>
  </si>
  <si>
    <t>Biocomputing 2022 - Proceedings Of The Pacific Symposium</t>
  </si>
  <si>
    <t>Transformer le Lait Local en Afrique de L'Ouest : Procédés et Clés du développement des Minilaiteries</t>
  </si>
  <si>
    <t>Coexistence et Confrontation des Modèles Agricoles et Alimentaires : Un Nouveau Paradigme du développement Territorial ?</t>
  </si>
  <si>
    <t>Reimagining Science Education in the Anthropocene</t>
  </si>
  <si>
    <t>Sustainable Commodity Use : Its Governance, Legal Framework, and Future Regulatory Instruments</t>
  </si>
  <si>
    <t>Water Security, Conflict and Cooperation in Peri-Urban South Asia : Flows Across Boundaries</t>
  </si>
  <si>
    <t>Banishment in the Late Medieval Eastern Netherlands : Exile and Redemption in Kampen</t>
  </si>
  <si>
    <t>Green Economy in the Transport Sector : A Case Study of Limpopo Province, South Africa</t>
  </si>
  <si>
    <t>Knowledge and Civil Society</t>
  </si>
  <si>
    <t>Governance and Service Delivery : Practical Applications of Social Accountability Across Sectors</t>
  </si>
  <si>
    <t>RTI International / RTI Press</t>
  </si>
  <si>
    <t>Improving Outcomes : For Noncommunicable Diseases in Low- and Middle-Income Countries</t>
  </si>
  <si>
    <t>Innovations in Home Energy Use : A Sourcebook for Behavior Change</t>
  </si>
  <si>
    <t>The Essential Role of Language in Survey Research</t>
  </si>
  <si>
    <t>Patient-Reported Outcomes in Performance Measurement</t>
  </si>
  <si>
    <t>Shale Oil and Gas : The Promise and the Peril, Revised and Updated Second Edition</t>
  </si>
  <si>
    <t>Reproducibility : A Primer on Semantics and Implications for Research</t>
  </si>
  <si>
    <t>Young Adults in the Workplace : A Multisite Initiative of Substance Use Prevention Programs</t>
  </si>
  <si>
    <t>Cultivating Dynamic Educators : Case Studies in Teacher Behavior Change in Africa and Asia</t>
  </si>
  <si>
    <t>Shale Gas : The Promise and the Peril</t>
  </si>
  <si>
    <t>The Nation's Health Care Bill : Who Bears the Burden? a Chartbook</t>
  </si>
  <si>
    <t>Measuring Nonuse Damages Using Contingent Valuation : An Experimental Evaluation of Accuracy</t>
  </si>
  <si>
    <t>The Early Grade Reading Assessment : Applications and Interventions to Improve Basic Literacy</t>
  </si>
  <si>
    <t>Pay for Performance in Health Care : Methods and Approaches</t>
  </si>
  <si>
    <t>Dissecting American Health Care : Commentaries on Health, Policy, and Politics</t>
  </si>
  <si>
    <t>Aerosol Science and Technology : History and Reviews</t>
  </si>
  <si>
    <t>National Assessment Approach to Sampling Error Estimation</t>
  </si>
  <si>
    <t>Methods in Statistical Genomics : In the Context of Genome-Wide Association Studies</t>
  </si>
  <si>
    <t>Noncognitive Skills in the Classroom : New Perspectives on Educational Research</t>
  </si>
  <si>
    <t>Leveraging Data for Student Success : Improving Education Through Data-Driven Decisions</t>
  </si>
  <si>
    <t>Uncertainty in Engineering : Introduction to Methods and Applications</t>
  </si>
  <si>
    <t>Sprachbildung in der Lehramtsausbildung Mathematik : Konzepte Für eine Sprachbewusste Hochschullehre</t>
  </si>
  <si>
    <t>Makers at School, Educational Robotics and Innovative Learning Environments : Research and Experiences from FabLearn Italy 2019, in the Italian Schools and Beyond</t>
  </si>
  <si>
    <t>Zero Distance : Management in the Quantum Age</t>
  </si>
  <si>
    <t>Biometric Identification, Law and Ethics</t>
  </si>
  <si>
    <t>The association between moral disengagement and bullying in early adolescence</t>
  </si>
  <si>
    <t>The value of immigrants' human capital for labour market integration</t>
  </si>
  <si>
    <t>Dynamic Visual Learning</t>
  </si>
  <si>
    <t>Ye Shall Know Them by Their Fruits : A Mixed Methods Study on Corruption, Competitiveness, and Christianity in Europe and the Americas</t>
  </si>
  <si>
    <t>Words in Space and Time : A Historical Atlas of Language Politics in Modern Central Europe</t>
  </si>
  <si>
    <t>Constructing Identities over Time : Bad Gypsies and Good Roma in Russia and Hungary</t>
  </si>
  <si>
    <t>Die Rolle Von Unternehmen Im IFRS-Standardsetzungsprozess : Analyse Anhand Ausgewählter Regelungen Zur Umsatzerfassung Aus Mehrkomponentengeschäften Nach IFRS 15</t>
  </si>
  <si>
    <t>Epidicus by Plautus : An Annotated Latin Text, with a Prose Translation</t>
  </si>
  <si>
    <t>Coping : A Philosophical Guide</t>
  </si>
  <si>
    <t>Mary Warnock : Ethics, Education and Public Policy in Post-War Britain</t>
  </si>
  <si>
    <t>The Great Reset : 2021 European Public Investment Outlook</t>
  </si>
  <si>
    <t>Auld Lang Syne : A Song and Its Culture</t>
  </si>
  <si>
    <t>Culture and Science</t>
  </si>
  <si>
    <t>Formalization of Banking Supervision : 19th-20th Centuries</t>
  </si>
  <si>
    <t>Themenkarrieren in der Wissenschaft : Die Entstehung der Themen Stadtschrumpfung und Klimawandel in der Raumforschung</t>
  </si>
  <si>
    <t>Erwerbsarbeit Von Müttern und Frühkindliche Fremdbetreuung : Eine Integrative Betrachtung Von Wohlfahrtseffekten</t>
  </si>
  <si>
    <t>Outcomes of Open Adoption from Care : An Australian Contribution to an International Debate</t>
  </si>
  <si>
    <t>A Guide to Sustainable Corporate Responsibility : From Theory to Action</t>
  </si>
  <si>
    <t>Counter-Terrorism, Ethics and Technology : Emerging Challenges at the Frontiers of Counter-Terrorism</t>
  </si>
  <si>
    <t>Prosthetic Body Parts in Nineteenth-Century Literature and Culture</t>
  </si>
  <si>
    <t>The Belt and Road Initiative Green Development Case Studies Report 2020</t>
  </si>
  <si>
    <t>Sociology of Interdisciplinarity : The Dynamics of Energy Research</t>
  </si>
  <si>
    <t>Migration and Pandemics : Spaces of Solidarity and Spaces of Exception</t>
  </si>
  <si>
    <t>Towards an Emissions Trading System in Mexico: Rationale, Design and Connections with the Global Climate Agenda : Outlook on the First ETS in Latin-America and Exploration of the Way Forward</t>
  </si>
  <si>
    <t>Cold War Civil Defence in Western Europe : Sociotechnical Imaginaries of Survival and Preparedness</t>
  </si>
  <si>
    <t>Co-Creativity and Engaged Scholarship : Transformative Methods in Social Sustainability Research</t>
  </si>
  <si>
    <t>Digitalisierung Souverän Gestalten II : Handlungsspielräume in Digitalen Wertschöpfungsnetzwerken</t>
  </si>
  <si>
    <t>Happiness--Concept, Measurement and Promotion</t>
  </si>
  <si>
    <t>Dynamics in Logistics : Twenty-Five Years of Interdisciplinary Logistics Research in Bremen, Germany</t>
  </si>
  <si>
    <t>No Truth Without Beauty : God, the Qur'an, and Women's Rights</t>
  </si>
  <si>
    <t>The Psychosocial Reality of Digital Travel : Being in Virtual Places</t>
  </si>
  <si>
    <t>Space, Place and Educational Settings</t>
  </si>
  <si>
    <t>Life Cycle Assessment of Agri-Food Systems : An Operational Guide Dedicated to Developing and Emerging Economies</t>
  </si>
  <si>
    <t>Feminist and LGBTI+ Activism Across Russia, Scandinavia and Turkey : Transnationalizing Spaces of Resistance</t>
  </si>
  <si>
    <t>Opportunities and Challenges for New and Peripheral Political Science Communities : A Consolidated Discipline?</t>
  </si>
  <si>
    <t>Modeling and Model-based Control of Automotive Air Paths</t>
  </si>
  <si>
    <t>Ulnar fractures and ligament injuries of the wrist</t>
  </si>
  <si>
    <t>Staged Otherness : Ethnic Shows in Central and Eastern Europe, 1850-1939</t>
  </si>
  <si>
    <t>Wie Sprache Dem Verstehen Hilft : Ergebnisse Einer Interventionsstudie Zu Sprachsensiblem Geographieunterricht</t>
  </si>
  <si>
    <t>Social Innovation in Higher Education : Landscape, Practices, and Opportunities</t>
  </si>
  <si>
    <t>Sexualisierte Gewalt und Digitale Medien : Reflexive Handlungsempfehlungen Für Die Fachpraxis</t>
  </si>
  <si>
    <t>A Climate of Justice: an Ethical Foundation for Environmentalism</t>
  </si>
  <si>
    <t>Management by Missions : Connecting People to Strategy Through Purpose</t>
  </si>
  <si>
    <t>Die Explorative Tympanoskopie Mit Obliteration des Runden/ovalen Fensters in der Behandlung des Hörsturzes : State of the Art</t>
  </si>
  <si>
    <t>The Asian 21st Century</t>
  </si>
  <si>
    <t>Seamless Learning : Grenz- und Kontextübergreifendes Lehren und Lernen in der Bodenseeregion</t>
  </si>
  <si>
    <t>Academic Flying and the Means of Communication</t>
  </si>
  <si>
    <t>Agricultural Value Chains in India : Ensuring Competitiveness, Inclusiveness, Sustainability, Scalability, and Improved Finance</t>
  </si>
  <si>
    <t>Annals of Scientific Society for Assembly, Handling and Industrial Robotics 2021</t>
  </si>
  <si>
    <t>Green Consensus and High Quality Development : CCICED Annual Policy Report 2020</t>
  </si>
  <si>
    <t>Monitoring State Compliance with the un Convention on the Rights of the Child : An Analysis of Attributes</t>
  </si>
  <si>
    <t>Peer Review in an Era of Evaluation : Understanding the Practice of Gatekeeping in Academia</t>
  </si>
  <si>
    <t>The Autofictional : Approaches, Affordances, Forms</t>
  </si>
  <si>
    <t>Data-Driven Fault Detection and Reasoning for Industrial Monitoring</t>
  </si>
  <si>
    <t>Climate of the Middle : Understanding Climate Change As a Common Challenge</t>
  </si>
  <si>
    <t>Information and Communication Technologies in Tourism 2022 : Proceedings of the ENTER 2022 ETourism Conference, January 11-14 2022</t>
  </si>
  <si>
    <t>Collapsing Structures and Public Mismanagement</t>
  </si>
  <si>
    <t>Religion and Governance in England's Emerging Colonial Empire, 1601-1698</t>
  </si>
  <si>
    <t>Memory Crash : Politics of History in and Around Ukraine, 1980s-2010s</t>
  </si>
  <si>
    <t>In Contempt : Defending Free Speech, Defeating HUAC</t>
  </si>
  <si>
    <t>Das Co-Creation Toolbook : Methoden Für eine Erfolgreiche Kooperation Zwischen Hochschule und Gesellschaft</t>
  </si>
  <si>
    <t>A Multidisciplinary Approach to Capability in Age and Ageing</t>
  </si>
  <si>
    <t>Horos : Ancient Boundaries and the Ecology of Stone</t>
  </si>
  <si>
    <t>Points of Contact : The Shared Intellectual History of Vocalisation in Syriac, Arabic, and Hebrew</t>
  </si>
  <si>
    <t>Making the Void Fruitful : Yeats As Spiritual Seeker and Petrarchan Lover</t>
  </si>
  <si>
    <t>Anthropologies of Global Maternal and Reproductive Health : From Policy Spaces to Sites of Practice</t>
  </si>
  <si>
    <t>Pedagogical Realities of Implementing Task-Based Language Teaching</t>
  </si>
  <si>
    <t>Transformational Change for People and the Planet : Evaluating Environment and Development</t>
  </si>
  <si>
    <t>Der Glaube an Big Data : Eine Analyse Gesellschaftlicher Überzeugungen Von Erkenntnis- und Nutzengewinnen Aus Digitalen Daten</t>
  </si>
  <si>
    <t>Narrative Praktiken Von Unternehmen : Imagefördernde Selbstdarstellungen Im Internet</t>
  </si>
  <si>
    <t>Multivariate Statistical Machine Learning Methods for Genomic Prediction</t>
  </si>
  <si>
    <t>Genresignaturen : Diskurshistorische Perspektiven Auf das Psycho-Universum Von 1960 Bis 2017</t>
  </si>
  <si>
    <t>Japan's Peacekeeping at a Crossroads : Taking a Robust Stance or Remaining Hesitant?</t>
  </si>
  <si>
    <t>Models for Dispatch of Volunteers in Daily Emergency Response</t>
  </si>
  <si>
    <t>Modeling and Control for Emission Management in Hybrid Electric Commercial Vehicles</t>
  </si>
  <si>
    <t>Everyday Life under Communism and After : Lifestyle and Consumption in Hungary, 1945-2000</t>
  </si>
  <si>
    <t>Risk Criticism : Precautionary Reading in an Age of Environmental Uncertainty</t>
  </si>
  <si>
    <t>Digital Samaritans : Rhetorical Delivery and Engagement in the Digital Humanities</t>
  </si>
  <si>
    <t>A Tumblr Book : Platform and Cultures</t>
  </si>
  <si>
    <t>A Player and a Gentleman : The Diary of Harry Watkins, Nineteenth-Century U. S. American Actor</t>
  </si>
  <si>
    <t>Surrender : How the Clinton Administration Completed the Reagan Revolution</t>
  </si>
  <si>
    <t>Signal Processing Aspects of Massive MIMO and IRS-Aided Communications</t>
  </si>
  <si>
    <t>Architecture and Development : Israeli Construction in Sub-Saharan Africa and the Settler Colonial Imagination, 1958-1973</t>
  </si>
  <si>
    <t>China in the World : Culture, Politics, and World Vision</t>
  </si>
  <si>
    <t>Scales of Captivity : Racial Capitalism and the Latinx Child</t>
  </si>
  <si>
    <t>The Russian Revolutions Of 1917 : The Northern Impact and Beyond</t>
  </si>
  <si>
    <t>Film As Embodied Art : Bodily Meaning in the Cinema of Stanley Kubrick</t>
  </si>
  <si>
    <t>Forms of List-Making: Epistemic, Literary, and Visual Enumeration</t>
  </si>
  <si>
    <t>Before They Were Titans : Essays on the Early Works of Dostoevsky and Tolstoy</t>
  </si>
  <si>
    <t>Relational Anthropology for Contemporary Economics : A Multidisciplinary Approach</t>
  </si>
  <si>
    <t>Cyber Security : 18th China Annual Conference, CNCERT 2021, Beijing, China, July 20-21, 2021, Revised Selected Papers</t>
  </si>
  <si>
    <t>Central Bank Policy Mix: Issues, Challenges, and Policy Responses : Handbook of Central Banking Studies</t>
  </si>
  <si>
    <t>The Plaston Concept : Plastic Deformation in Structural Materials</t>
  </si>
  <si>
    <t>Atlas of Global Change Risk of Population and Economic Systems</t>
  </si>
  <si>
    <t>The Sharing Economy in Europe : Developments, Practices, and Contradictions</t>
  </si>
  <si>
    <t>Golden Years of Australian Radio Astronomy : An Illustrated History</t>
  </si>
  <si>
    <t>Green Infrastructure and Climate Change Adaptation : Function, Implementation and Governance</t>
  </si>
  <si>
    <t>Interlocal Adaptations to Climate Change in East and Southeast Asia : Sharing Lessons of Agriculture, Disaster Risk Reduction, and Resource Management</t>
  </si>
  <si>
    <t>Biomarkers In Brain Tumors With Focus On Glioblastoma</t>
  </si>
  <si>
    <t>The Nation Form in the Global Age : Ethnographic Perspectives</t>
  </si>
  <si>
    <t>Aviation Noise Impact Management : Technologies, Regulations, and Societal Well-Being in Europe</t>
  </si>
  <si>
    <t>Micro-Management of Irregular Migration : Internal Borders and Public Services in London and Barcelona</t>
  </si>
  <si>
    <t>Climate Adaptation Modelling</t>
  </si>
  <si>
    <t>Prevention and Treatment of Atherosclerosis : Improving State-Of-the-Art Management and Search for Novel Targets</t>
  </si>
  <si>
    <t>The Advisory Roles of Political Scientists in Europe : Comparing Engagements in Policy Advisory Systems</t>
  </si>
  <si>
    <t>Handbook of Digital Face Manipulation and Detection : From DeepFakes to Morphing Attacks</t>
  </si>
  <si>
    <t>Unintended Lessons of Revolution : Student Teachers and Political Radicalism in Twentieth-Century Mexico</t>
  </si>
  <si>
    <t>Interplay of Things : Religion, Art, and Presence Together</t>
  </si>
  <si>
    <t>Experimenting with Ethnography : A Companion to Analysis</t>
  </si>
  <si>
    <t>At the Limits of Cure</t>
  </si>
  <si>
    <t>Radiation Sounds : Marshallese Music and Nuclear Silences</t>
  </si>
  <si>
    <t>Distributed Optimization for Control and Estimation</t>
  </si>
  <si>
    <t>Evolutionary Equations : Picard's Theorem for Partial Differential Equations, and Applications</t>
  </si>
  <si>
    <t>Feminist Methodologies : Experiments, Collaborations and Reflections</t>
  </si>
  <si>
    <t>Vidding : A History</t>
  </si>
  <si>
    <t>Regenerative Territories : Dimensions of Circularity for Healthy Metabolisms</t>
  </si>
  <si>
    <t>Contracting and Safety : Exploring Outsourcing Practices in High-Hazard Industries</t>
  </si>
  <si>
    <t>The EBMT/EHA CAR-T Cell Handbook</t>
  </si>
  <si>
    <t>Education to Build Back Better : What Can We Learn from Education Reform for a Post-Pandemic World</t>
  </si>
  <si>
    <t>Modern Socio-Technical Perspectives on Privacy</t>
  </si>
  <si>
    <t>The Neo-Aramaic Oral Heritage of the Jews of Zakho</t>
  </si>
  <si>
    <t>Replanteando la Acción Social Por la Música : La Búsqueda de la Convivencia y la Ciudadanía en la Red de Escuelas de Música de Medellín</t>
  </si>
  <si>
    <t>Democratising Participatory Research : Pathways to Social Justice from the South</t>
  </si>
  <si>
    <t>Making Sense of Work Through Collaborative Storytelling : Building Narratives in Organisational Change</t>
  </si>
  <si>
    <t>Identifying Security Logics in the EU Policy Discourse : The Migration Crisis and the EU</t>
  </si>
  <si>
    <t>Learning to Diagnose with Simulations : Examples from Teacher Education and Medical Education</t>
  </si>
  <si>
    <t>Education for Sustaining Peace Through Historical Memory</t>
  </si>
  <si>
    <t>Pattern-based Programming Abstractions for Heterogeneous Parallel Computing</t>
  </si>
  <si>
    <t>Visual Odometryin Principle and Practice</t>
  </si>
  <si>
    <t>Seeds for Diversity and Inclusion : Agroecology and Endogenous Development</t>
  </si>
  <si>
    <t>Anthropological Perspectives on Environmental Communication</t>
  </si>
  <si>
    <t>The Legibility of Serif and Sans Serif Typefaces : Reading from Paper and Reading from Screens</t>
  </si>
  <si>
    <t>Researching Values : Methodological Approaches for Understanding Values Work in Organisations and Leadership</t>
  </si>
  <si>
    <t>From West to North Frisia : A Journey along the North Sea Coast. Frisian Studies in Honour of Jarich Hoekstra</t>
  </si>
  <si>
    <t>Intelligent Systems for Sustainable Person-Centered Healthcare</t>
  </si>
  <si>
    <t>Transition and Opportunity : Strategies from Business Leaders on Making the Most of China's Future</t>
  </si>
  <si>
    <t>Jia Zhangke on Jia Zhangke</t>
  </si>
  <si>
    <t>Subjektunabhängige, Analytische Unternehmensethik : Begründung und Relevanz Als Praktisch-Normative Betriebswirtschaftslehre</t>
  </si>
  <si>
    <t>A Co-Simulation Tool Applied to Hydraulic Percussion Units</t>
  </si>
  <si>
    <t>Guidebook to Carbon Neutrality in China : Macro and Industry Trends under New Constraints</t>
  </si>
  <si>
    <t>Dumbing Down : The Crisis of Quality and Equity in a Once-Great School System--And How to Reverse the Trend</t>
  </si>
  <si>
    <t>The Greater Chaco Landscape : Ancestors, Scholarship, and Advocacy</t>
  </si>
  <si>
    <t>Historicizing Fear : Ignorance, Vilification, and Othering</t>
  </si>
  <si>
    <t>Maya Gods of War</t>
  </si>
  <si>
    <t>Metalearning : Applications to Automated Machine Learning and Data Mining</t>
  </si>
  <si>
    <t>Das Erweiterte Museum : Medien, Technologien und Internet</t>
  </si>
  <si>
    <t>Equity Policies in Global Higher Education : Reducing Inequality and Increasing Participation and Attainment</t>
  </si>
  <si>
    <t>Al-Haq : A Global History of the First Palestinian Human Rights Organization</t>
  </si>
  <si>
    <t>University of California Press</t>
  </si>
  <si>
    <t>Societies in Transition in Early Greece : An Archaeological History</t>
  </si>
  <si>
    <t>A Proximate Remove : Queering Intimacy and Loss in the Tale of Genji</t>
  </si>
  <si>
    <t>The Endurance of Palestinian Political Factions : An Everyday Perspective from Nahr el-Bared Camp</t>
  </si>
  <si>
    <t>Brought to Life by the Voice : Playback Singing and Cultural Politics in South India</t>
  </si>
  <si>
    <t>The Funeral of Mr. Wang : Life, Death, and Ghosts in Urbanizing China</t>
  </si>
  <si>
    <t>Knowing about Genocide : Armenian Suffering and Epistemic Struggles</t>
  </si>
  <si>
    <t>Public Policies and Food Systems in Latin America</t>
  </si>
  <si>
    <t>(Post-)colonial Archipelagos : Comparing the Legacies of Spanish Colonialism in Cuba, Puerto Rico, and the Philippines</t>
  </si>
  <si>
    <t>Secretory Autoantibodies in Rheumatoid Arthritis</t>
  </si>
  <si>
    <t>The Pandemic of Argumentation</t>
  </si>
  <si>
    <t>Mathematical Modeling of the Human Brain : From Magnetic Resonance Images to Finite Element Simulation</t>
  </si>
  <si>
    <t>The Vortex and the Jet : A Journey into the Beauty and Mystery of Flight</t>
  </si>
  <si>
    <t>Feminist IR in Europe : Knowledge Production in Academic Institutions</t>
  </si>
  <si>
    <t>The Future of Financial Systems in the Digital Age : Perspectives from Europe and Japan</t>
  </si>
  <si>
    <t>Learning, Marginalization, and Improving the Quality of Education in Low-Income Countries</t>
  </si>
  <si>
    <t>The Form of Ideology and the Ideology of Form : Cold War, Decolonization and Third World Print Cultures</t>
  </si>
  <si>
    <t>William Sharp and Fiona Macleod : A Life</t>
  </si>
  <si>
    <t>Traces of War : Interpreting Ethics and Trauma in Twentieth-Century French Writing</t>
  </si>
  <si>
    <t>Marie NDiaye : Blankness and Recognition</t>
  </si>
  <si>
    <t>French Cycling : A Social and Cultural History</t>
  </si>
  <si>
    <t>Cultures of Anyone : Studies on Cultural Democratization in the Spanish Neoliberal Crisis</t>
  </si>
  <si>
    <t>Spanish Spaces : Landscape, Space and Place in Contemporary Spanish Culture</t>
  </si>
  <si>
    <t>The Most Dreadful Visitation : Male Madness in Victorian Fiction</t>
  </si>
  <si>
    <t>Haiti Unbound : A Spiralist Challenge to the Postcolonial Canon</t>
  </si>
  <si>
    <t>Borrowed Forms : The Music and Ethics of Transnational Fiction</t>
  </si>
  <si>
    <t>Race on Display in 20th- and 21st Century France</t>
  </si>
  <si>
    <t>Creolizing Europe : Legacies and Transformations</t>
  </si>
  <si>
    <t>Imperial Emotions : Cultural Responses to Myths of Empire in Fin-De-Siècle Spain</t>
  </si>
  <si>
    <t>Contemporary Irish Women Poets : Memory and Estrangement</t>
  </si>
  <si>
    <t>What Is Québécois Literature? : Reflections on the Literary History of Francophone Writing in Canada</t>
  </si>
  <si>
    <t>Contagion and Enclaves : Tropical Medicine in Colonial India</t>
  </si>
  <si>
    <t>Involuntary Associations : Postcolonial Studies and World Englishes</t>
  </si>
  <si>
    <t>Postgrowth Imaginaries : New Ecologies and Counterhegemonic Culture in Post-2008 Spain</t>
  </si>
  <si>
    <t>American Creoles : The Francophone Caribbean and the American South</t>
  </si>
  <si>
    <t>Disability Studies and Spanish Culture : Films, Novels, the Comic and the Public Exhibition</t>
  </si>
  <si>
    <t>Michel Houellebecq : Humanity and Its Aftermath</t>
  </si>
  <si>
    <t>Jamaica Making : The Theresa Roberts Art Collection</t>
  </si>
  <si>
    <t>Knights Across the Atlantic : The Knights of Labor in Britain and Ireland</t>
  </si>
  <si>
    <t>Roland Barthes at the Collège de France</t>
  </si>
  <si>
    <t>Middlebrow Matters : Women's Reading and the Literary Canon in France since the Belle Époque</t>
  </si>
  <si>
    <t>Worker Voice : Employee Representation in the Workplace in Australia, Canada, Germany, the UK and the US 1914-1939</t>
  </si>
  <si>
    <t>Beastly Journeys : Travel and Transformation at the Fin de Siècle</t>
  </si>
  <si>
    <t>The Mauritian Novel : Fictions of Belonging</t>
  </si>
  <si>
    <t>Vital Subjects : Race and Biopolitics in Italy 1860-1920</t>
  </si>
  <si>
    <t>Articulating Bodies : The Narrative Form of Disability and Illness in Victorian Fiction</t>
  </si>
  <si>
    <t>The Historical Jesus and the Literary Imagination 1860-1920</t>
  </si>
  <si>
    <t>Rhetorics of Belonging : Nation, Narration, and Israel/Palestine</t>
  </si>
  <si>
    <t>Literary Reimaginings of Argentina's Independence : History, Fiction, Politics</t>
  </si>
  <si>
    <t>Byron and the Forms of Thought</t>
  </si>
  <si>
    <t>The Sanitation Triangle : Socio-Culture, Health and Materials</t>
  </si>
  <si>
    <t>International Impacts on Social Policy : Short Histories in Global Perspective</t>
  </si>
  <si>
    <t>Ernst Denert Award for Software Engineering 2020 : Practice Meets Foundations</t>
  </si>
  <si>
    <t>Digitale Medien und Nachhaltigkeit : Medienpraktiken Für ein Gutes Leben</t>
  </si>
  <si>
    <t>SDGs, Transformation, and Quality Growth : Insights from International Cooperation</t>
  </si>
  <si>
    <t>Präventionsarbeit der Polizei Als Pädagogische Herausforderung : Empirische Rekonstruktionen Im Umgang Mit Kindern und Jugendlichen</t>
  </si>
  <si>
    <t>Intercultural Approaches to Education : From Theory to Practice</t>
  </si>
  <si>
    <t>Die Bedeutung Von Flüchtling, Geflüchtete_r und Migrant_in : Eine Frame-Semantische Untersuchung Zum Diskurs Zur Sog. Flüchtlingskrise</t>
  </si>
  <si>
    <t>Transformation Literacy : Pathways to Regenerative Civilizations</t>
  </si>
  <si>
    <t>Wicked Problems in Public Policy : Understanding and Responding to Complex Challenges</t>
  </si>
  <si>
    <t>Academic Integrity in Canada : An Enduring and Essential Challenge</t>
  </si>
  <si>
    <t>Vzdělávání žáků s Aspergerovým syndromem v inkluzivní třídě : Metodická příručka</t>
  </si>
  <si>
    <t>Masaryk University</t>
  </si>
  <si>
    <t>65. studentská vědecká konference : Program a sborník abstraktů</t>
  </si>
  <si>
    <t>Metodika práce s třídním kolektivem v inkluzivní třídě se zaměřením na žáky se sluchovým postižením : Metodická příručka</t>
  </si>
  <si>
    <t>Praxe studijního programu Učitelství pro mateřské školy: metodická příručka pro studenty</t>
  </si>
  <si>
    <t>Metodika dlouhodobého ukládání a archivace digitálních dokumentů</t>
  </si>
  <si>
    <t>Terminologia graeco-latina medica pro studijní obory fyzioterapie a všeobecná sestra</t>
  </si>
  <si>
    <t>Terminologia graeco-latina medica pro bakalářské obory Lékařské fakulty MU : Gramatická příručka</t>
  </si>
  <si>
    <t>Terminologia graeco-latina medica pro studijní obor porodní asistentka</t>
  </si>
  <si>
    <t>Já z hvězd svou moudrost nevyčet… : Studentský sborník intermediálních analýz</t>
  </si>
  <si>
    <t>Terminologies, Lexical Hierarchies and other Configurations</t>
  </si>
  <si>
    <t>Transdisciplinární didaktika: o učitelském sdílení znalostí a zvyšování kvality výuky napříč obory</t>
  </si>
  <si>
    <t>Smooth and F-smooth systems with applications to Covariant Quantum Mechanics</t>
  </si>
  <si>
    <t>Foglar v nás: Záhada hlav a lomu</t>
  </si>
  <si>
    <t>Slovanský literární svět: kontexty a konfrontace III : Motiv domova ve slovanských literaturách</t>
  </si>
  <si>
    <t>Proceedings of the 11th International Conference on Kinanthropology : 29. 11. – 1. 12. 2017</t>
  </si>
  <si>
    <t>Momentum. Umění a kosmopolitní modernita</t>
  </si>
  <si>
    <t>Slovanský literární svět: kontexty a konfrontace IV</t>
  </si>
  <si>
    <t>Nedělní pedagogické krasořeči : O obratech a vyvažování ve výchově a vzdělávání</t>
  </si>
  <si>
    <t>Příležitosti k rozvíjení autonomie žáka v hodinách anglického jazyka</t>
  </si>
  <si>
    <t>Somatopedické simulační techniky a intervence : Metodické texty k projektu MUNI 4.0. Pedagogická fakulta, studijní program Logopedie (Bc.)</t>
  </si>
  <si>
    <t>Speciálněpedagogická diagnostika somatopedická : Metodické texty k projektu MUNI 4.0. Pedagogická fakulta, studijní program Logopedie (Bc.)</t>
  </si>
  <si>
    <t>Personální marketing v řízení lidských zdrojů</t>
  </si>
  <si>
    <t>Rozhodni se! aneb životním stylem ke zdraví : Metodický materiál k výuce prevence onkologických a dalších chronických neinfekčních chorob pro 2. stupeň ZŠ</t>
  </si>
  <si>
    <t>Proč školství a jeho aktéři selhávají : Kognitivní krajiny a nacionalismus</t>
  </si>
  <si>
    <t>Tradiční rodina v Číně</t>
  </si>
  <si>
    <t>XI. studentská vědecká konference Katedry českého jazyka a literatury : 14. března 2019</t>
  </si>
  <si>
    <t>Variabilita sinic v elektronovém mikroskopu</t>
  </si>
  <si>
    <t>13. mezinárodní vědecká konference Didaktická konference 2019 : Sborník příspěvků</t>
  </si>
  <si>
    <t>Focus on: INSIDE / OUTSIDE</t>
  </si>
  <si>
    <t>(Geo)Demografie nejen pro ekonomy</t>
  </si>
  <si>
    <t>EdTech KISK: Studijní profilace Technologie ve vzdělávání</t>
  </si>
  <si>
    <t>Profesionální pomáhání : Rozhovory napříč pomáhajícími profesemi</t>
  </si>
  <si>
    <t>Life in Health 2019: Research and Practice : Proceedings of the International Conference held on 5–6 September 2019</t>
  </si>
  <si>
    <t>Muzejní profese a veřejnost 2 : Reflexe edukačního fenoménu v současné muzejní praxi</t>
  </si>
  <si>
    <t>Psychologie práce a organizace 2019</t>
  </si>
  <si>
    <t>Exploring and explaining participation in local opposition: brown coal mining in Horní Jiřetín</t>
  </si>
  <si>
    <t>Outdoor Education in Geography: A Specific Educational Strategy</t>
  </si>
  <si>
    <t>Podpora vedení studentů na praxi v mateřské škole</t>
  </si>
  <si>
    <t>Lidová píseň v hudební výchově na základních a středních školách v České republice</t>
  </si>
  <si>
    <t>Česká problémová dramatika šedesátých let 20. století</t>
  </si>
  <si>
    <t>Cytologický a embryologický atlas</t>
  </si>
  <si>
    <t>Výzkum v didaktice cizích jazyků II</t>
  </si>
  <si>
    <t>Repetitorium onemocnění sliznice ústní dutiny</t>
  </si>
  <si>
    <t>Prostor a jeho obývání : Zobrazení prostoru v díle Marie Noëlové, Suzanne Renaudové, Christiane Singerové a Sylvie Germainové</t>
  </si>
  <si>
    <t>The preschool teacher as a reflective practitioner</t>
  </si>
  <si>
    <t>University textbook on oral mucosal diseases</t>
  </si>
  <si>
    <t>Směřování ke kvalitě 2016–2020 v pedagogicko-psychologické přípravě budoucích učitelů na PdF MU</t>
  </si>
  <si>
    <t>Kleines derivationelles Valenzlexikon zu einigen zentralen Valenzträgern im Deutschen und Tschechischen : Versuch einer kategorienübergreifenden Erfassung der Valenzrealisierung</t>
  </si>
  <si>
    <t>Nerovný vývoj světa a rozvojová teorie</t>
  </si>
  <si>
    <t>Proces fúzí obchodních společností v právních, účetních a daňových souvislostech</t>
  </si>
  <si>
    <t>Standard kvality profesních kompetencí studenta učitelství</t>
  </si>
  <si>
    <t>Speciálněpedagogická diagnostika oftalmopedická : Metodické texty k projektu MUNI 4.0. Pedagogická fakulta, studijní program Logopedie (Bc.)</t>
  </si>
  <si>
    <t>Leading Learning Networks in Education : Theoretical Framework and School Leaders’ Perspectives across Europe</t>
  </si>
  <si>
    <t>Simulační techniky oftalmopedické : Metodické texty k projektu MUNI 4.0. Pedagogická fakulta, studijní program Logopedie (Bc.)</t>
  </si>
  <si>
    <t>Venkovský cestovní ruch : Aktuální témata cestovního ruchu</t>
  </si>
  <si>
    <t>Možnosti zvyšování efektivnosti veřejného sektoru v podmínkách krize veřejných financí II</t>
  </si>
  <si>
    <t>Speciálněpedagogická diagnostika surdopedická : Metodické texty k projektu MUNI 4.0. Pedagogická fakulta, studijní program Logopedie (Bc.)</t>
  </si>
  <si>
    <t>Komunikační a simulační techniky logopedické : Metodické texty k projektu MUNI 4.0. Pedagogická fakulta, studijní program Logopedie (Bc.)</t>
  </si>
  <si>
    <t>Sto tváří, sto příběhů : Vybrané osobnosti v dějinách Filozofické fakulty Masarykovy univerzity</t>
  </si>
  <si>
    <t>Tomáškovy dny 2020 : XXIX. konference mladých mikrobiologů</t>
  </si>
  <si>
    <t>Komunikace osob s duálním smyslovým postižením : Metodické texty k projektu MUNI 4.0. Pedagogická fakulta, studijní program Logopedie (Bc.)</t>
  </si>
  <si>
    <t>Diverzifikace předškolního vzdělávání v ČR</t>
  </si>
  <si>
    <t>Proceedings of the 12th International Conference on Kinanthropology : Sport and Quality of Life. 7. – 9. 11. 2019</t>
  </si>
  <si>
    <t>Otázky neolitu a eneolitu. 39. ročník. Brno, 9.–11. 9. 2020 : Sborník abstraktů</t>
  </si>
  <si>
    <t>Moravský kras a okolí / Moravian Karst and its Environs : Atlas pro terénní výuku a outdoorové aktivity / Atlas for field work and outdoor activities</t>
  </si>
  <si>
    <t>Proměny Brněnského varhanního festivalu</t>
  </si>
  <si>
    <t>We’re Not Afraid of Cancer or Prevention as a Doorway to Health : Oncological Prevention Methology for Lower Secondary Schools</t>
  </si>
  <si>
    <t>Speciálněpedagogická diagnostika logopedická : Metodické texty k projektu MUNI 4.0. Pedagogická fakulta, studijní program Logopedie (Bc.)</t>
  </si>
  <si>
    <t>Výkonnost podniku v kontextu spokojenosti zákazníka, zpětných toků, kvality, inovací a znalostí</t>
  </si>
  <si>
    <t>Řízení třídy: studenti učitelství a jejich provázející učitelé</t>
  </si>
  <si>
    <t>Guide to General Histology and Microscopic Anatomy</t>
  </si>
  <si>
    <t>Alternativní a augmentativní komunikace : Metodické texty k projektu MUNI 4.0. Pedagogická fakulta, studijní program Logopedie (Bc.)</t>
  </si>
  <si>
    <t>Speciálněpedagogická diagnostika a intervence u žáků se specifickými poruchami učení : Metodické texty k projektu MUNI 4.0. Pedagogická fakulta, studijní program Logopedie (Bc.)</t>
  </si>
  <si>
    <t>Komunikační a simulační techniky surdopedické : Metodické texty k projektu MUNI 4.0. Pedagogická fakulta, studijní program Logopedie (Bc.)</t>
  </si>
  <si>
    <t>100 let R. U. R. : Sborník z konference na Pedagogické fakultě Masarykovy univerzity v Brně, 11. září 2019</t>
  </si>
  <si>
    <t>XII. studentská vědecká konference Katedry českého jazyka a literatury : 8. října 2020</t>
  </si>
  <si>
    <t>Kariérová adaptabilita : Její podoby, proměny, souvislosti a role v životě mladých dospělých procházejících středním odborným vzděláváním</t>
  </si>
  <si>
    <t>(Teaching) Regional Geography : Proceedings of 27th Central European Conference. 17th October 2019, Brno</t>
  </si>
  <si>
    <t>Mladá slavistika V : Slavistická badatelská dílna</t>
  </si>
  <si>
    <t>Cesty horním Kurveleshem v čase a prostoru</t>
  </si>
  <si>
    <t>Nástroje pro přechod na oběhové hospodářství : Informační, motivační a dobrovolné nástroje pro obce a občany</t>
  </si>
  <si>
    <t>Kontrahovanie služieb vo verejnom sektore – skúsenosti v Slovenskej a Českej republike</t>
  </si>
  <si>
    <t>Freedom in the Mirror of University History : Commemorating the 100th anniversary of the founding of Masaryk University and dedicated to all the authors in its history who were silenced</t>
  </si>
  <si>
    <t>Uměním tě proměním : Výtvarné činnosti a jejich přínos preprimárnímu vzdělávání</t>
  </si>
  <si>
    <t>Mýty – omyly – nepravdy : O „chibách“ ve vzdělávání a pedagogice</t>
  </si>
  <si>
    <t>Real World Learning in Outdoor Environmental Education Programs : The Practice from the Perspective of Educational Research</t>
  </si>
  <si>
    <t>Typo Poster : Traditional Medium of Communication in Epoch of Advanced Digital Technologies</t>
  </si>
  <si>
    <t>Idea univerzity z české perspektivy : Rozhovory s Jiřím Hanušem</t>
  </si>
  <si>
    <t>Functional Plurality of Language in Contextualised Discourse : Eighth Brno Conference on Linguistics Studies in English. Conference Proceedings. Brno, 12–13 September 2019</t>
  </si>
  <si>
    <t>Úvod do ekologické problematiky</t>
  </si>
  <si>
    <t>Current issues of the Russian language teaching XIV</t>
  </si>
  <si>
    <t>Pohybová aktivita jako účinný prostředek nefarmakologické péče v onkologii</t>
  </si>
  <si>
    <t>64. studentská vědecká konference : Program a sborník abstraktů</t>
  </si>
  <si>
    <t>Análisis de errores en la interlengua de aprendices de ELE universitarios checos y eslovacos</t>
  </si>
  <si>
    <t>The Attitudes of Elementary School Teachers to Eating Disorders</t>
  </si>
  <si>
    <t>Subjektivní teorie a jednání učitelů: vícečetná případová studie v kontextu profesního rozvoje učitelů</t>
  </si>
  <si>
    <t>Konstrukční úlohy : Učební text pro studenty učitelství matematiky 2. stupně základní školy</t>
  </si>
  <si>
    <t>Výzkum v didaktice cizích jazyků III</t>
  </si>
  <si>
    <t>Efektivní vyučování v heterogenní třídě se zřetelem na metody a učební strategie</t>
  </si>
  <si>
    <t>Inkluzivní didaktika v praxi základní školy : Teorie, výzkum a praxe</t>
  </si>
  <si>
    <t>Edukace žáků se speciálními vzdělávacími potřebami v českém jazyce a literatuře – zaměření na žáky s SPU a zdravotním znevýhodněním : Metodická příručka</t>
  </si>
  <si>
    <t>Logbook pro doktorský studijní program Speciální pedagogika</t>
  </si>
  <si>
    <t>Logbook for Special Edication doctoral program</t>
  </si>
  <si>
    <t>Metodika práce s třídním kolektivem v inkluzivní třídě se zaměřením na žáky s narušenou komunikační schopností : Metodická příručka</t>
  </si>
  <si>
    <t>Metodika práce s třídním kolektivem v inkluzivní třídě se zaměřením na žáky se zrakovým postižením : Metodická příručka</t>
  </si>
  <si>
    <t>Metodika práce s třídním kolektivem v inkluzivní třídě se zaměřením na žáky s epilepsií : Metodická příručka</t>
  </si>
  <si>
    <t>Dobrodružství historické interpretace</t>
  </si>
  <si>
    <t>Student Scientific Conference MUNI Pharm 2021 : The Book of Abstracts</t>
  </si>
  <si>
    <t>Tomáškovy dny 2021 : XXX. konference mladých mikrobiologů</t>
  </si>
  <si>
    <t>XXIV. mezinárodní kolokvium o regionálních vědách : Sborník příspěvků</t>
  </si>
  <si>
    <t>Building University Schools in Teacher Education Programmes : Guidelines and Suggestions</t>
  </si>
  <si>
    <t>Výslovnost ve výuce německého jazyka na ZŠ</t>
  </si>
  <si>
    <t>Jak měřit metakognici (nejen) u nadaných dětí</t>
  </si>
  <si>
    <t>Geografie bariér : Příklady dobrých bezbariérových realizací</t>
  </si>
  <si>
    <t>Predikce potenciálních míst k výstavbě retenčních nádrží v krajině na základě využití reliktů zaniklých vodohospodářských staveb : Certifikovaná metodika</t>
  </si>
  <si>
    <t>Studují spolu : Vzájemné učení mezi vysokoškolskými studenty kombinovaných studií a možnosti jeho podpory</t>
  </si>
  <si>
    <t>Zdroje a šíření vybraných komodit keramické produkce vrcholného a pozdního středověku</t>
  </si>
  <si>
    <t>XIII. studentská vědecká konference Katedry českého jazyka a literatury : 18. března 2021</t>
  </si>
  <si>
    <t>Vzdělávání žáků se specifickými poruchami učení – matematika : Metodická příručka</t>
  </si>
  <si>
    <t>Metody kauzální analýzy pro měření efektivity podpory prodeje</t>
  </si>
  <si>
    <t>Postupy a nástroje pedagogické evaluace pro (budoucí) učitele</t>
  </si>
  <si>
    <t>Netradiční studenti pedagogických oborů na českých vysokých školách</t>
  </si>
  <si>
    <t>Inquiry in University Mathematics Teaching and Learning : The Platinum Project</t>
  </si>
  <si>
    <t>The Faithful and the Reasonable : Chapters on ecological Foolishness</t>
  </si>
  <si>
    <t>Vyjmenovaná slova s Radkou a Kájou a pejskem Ottou</t>
  </si>
  <si>
    <t>The Figurativeness of the Language of Mystical Experience : Particularities and Interpretations</t>
  </si>
  <si>
    <t>14. mezinárodní vědecká konference Didaktická konference 2021 : Sborník příspěvků</t>
  </si>
  <si>
    <t>China and the World in a Changing Context : Perspectives from Ambassadors to China</t>
  </si>
  <si>
    <t>Plans de Gestion de la Sécurité Sanitaire de l'eau Résilients Au Climat: Gestion des Risques de Santé Liés à la Variabilité et Aux Changements Climatiques</t>
  </si>
  <si>
    <t>Water-Wise Cities and Sustainable Water Systems : Concepts, Technologies, and Applications</t>
  </si>
  <si>
    <t>Intangible Capital and Growth : Essays on Labor Productivity, Monetary Economics, and Political Economy, Vol. 1</t>
  </si>
  <si>
    <t>Gender and Migration : IMISCOE Short Reader</t>
  </si>
  <si>
    <t>Zéro Pesticide : Un Nouveau Paradigme de Recherche Pour une Agriculture Durable</t>
  </si>
  <si>
    <t>Public Support for the Euro : Essays on Labor Productivity, Monetary Economics, and Political Economy, Vol. 2</t>
  </si>
  <si>
    <t>Wissenschaft Kommuniziert : Eine Wissenssoziologische Gattungsanalyse des Akademischen Group-Talks Am Beispiel der Computational Neuroscience</t>
  </si>
  <si>
    <t>A Pathway to Excellence : The First 100 Years of Pathology and Laboratory Medicine at the University of Rochester School of Medicine and Dentistry, 1921-2020</t>
  </si>
  <si>
    <t>University of Rochester Press</t>
  </si>
  <si>
    <t>A Jewel in the Crown II : Essays in Honor of the 90th Anniversary of the Institute of Optics University of Rochester</t>
  </si>
  <si>
    <t>Modes of Esports Engagement in Overwatch</t>
  </si>
  <si>
    <t>Women, Migration and Gendered Experiences : The Case of Post-1991 Albanian Migration</t>
  </si>
  <si>
    <t>Revisualising Intersectionality</t>
  </si>
  <si>
    <t>Die österreichische Gesellschaft Während der Corona-Pandemie : Ergebnisse Aus Sozialwissenschaftlichen Umfragen</t>
  </si>
  <si>
    <t>Opportunity cost in healthcare priority setting</t>
  </si>
  <si>
    <t>Higher Education in Romania: Overcoming Challenges and Embracing Opportunities</t>
  </si>
  <si>
    <t>Decarbonizing Freight Transport : Acceptance and Policy Implications</t>
  </si>
  <si>
    <t>Indian Agriculture Towards 2030 : Pathways for Enhancing Farmers' Income, Nutritional Security and Sustainable Food and Farm Systems</t>
  </si>
  <si>
    <t>The Governance of Insurance Undertakings : Corporate Law and Insurance Regulation</t>
  </si>
  <si>
    <t>Queer Korea</t>
  </si>
  <si>
    <t>Histories of Experience in the World of Lived Religion</t>
  </si>
  <si>
    <t>Monetary Authorities : Capitalism and Decolonization in the American Colonial Philippines</t>
  </si>
  <si>
    <t>Cancer in the Arab World</t>
  </si>
  <si>
    <t>Revisiting Migrant Networks : Migrants and Their Descendants in Labour Markets</t>
  </si>
  <si>
    <t>Das Formular</t>
  </si>
  <si>
    <t>R&amp;d Management Practices and Innovation: Evidence from a Firm Survey</t>
  </si>
  <si>
    <t>The effects of deleterious mutations on ageing</t>
  </si>
  <si>
    <t>A Short History of Transport in Japan from Ancient Times to the Present</t>
  </si>
  <si>
    <t>Koordination und Kompromiss in Föderalen Bildungssystemen : Umkämpfte Institutionalisierung Eines Neuen Zugangswegs in Die Lehrpersonenbildung</t>
  </si>
  <si>
    <t>Process Mining Workshops : ICPM 2021 International Workshops, Eindhoven, the Netherlands, October 31 - November 4, 2021, Revised Selected Papers</t>
  </si>
  <si>
    <t>Value Sets for EQ-5D-5L : A Compendium, Comparative Review and User Guide</t>
  </si>
  <si>
    <t>Energy Transition and Energy Democracy in East Asia</t>
  </si>
  <si>
    <t>Adaptive Mediation and Conflict Resolution : Peace-Making in Colombia, Mozambique, the Philippines, and Syria</t>
  </si>
  <si>
    <t>Thanks for Watching : An Anthropological Study of Video Sharing on YouTube</t>
  </si>
  <si>
    <t>Emerging Trends in and Strategies for Industry 4. 0 During and Beyond Covid-19</t>
  </si>
  <si>
    <t>Soziale Netzwerke und Politische Partizipation : Eine Empirische Untersuchung Mit Sozialräumlicher Perspektive</t>
  </si>
  <si>
    <t>Synthesis of Safety-Critical Real-Time Systems</t>
  </si>
  <si>
    <t>Development and Application of Computational Models for Peptide-Protein Complexes</t>
  </si>
  <si>
    <t>Der Zusammenhang Zwischen Meritokratie und Beruflicher Bildung : Idealtypische Rekonstruktion Als Deutungsrahmen Für das Wertschätzungsproblem der Berufsbildung in der Ukraine</t>
  </si>
  <si>
    <t>Archive of Jewish History : Volume 12</t>
  </si>
  <si>
    <t>Museum Digitisations and Emerging Curatorial Agencies Online : Vikings in the Digital Age</t>
  </si>
  <si>
    <t>The White Indians of Mexican Cinema : Racial Masquerade Throughout the Golden Age</t>
  </si>
  <si>
    <t>Fundamental Approaches to Software Engineering : 25th International Conference, FASE 2022, Held As Part of the European Joint Conferences on Theory and Practice of Software, ETAPS 2022, Munich, Germany, April 2-7, 2022, Proceedings</t>
  </si>
  <si>
    <t>Programming Languages and Systems : 31st European Symposium on Programming, ESOP 2022, Held As Part of the European Joint Conferences on Theory and Practice of Software, ETAPS 2022, Munich, Germany, April 2-7, 2022, Proceedings</t>
  </si>
  <si>
    <t>Foundations of Software Science and Computation Structures : 25th International Conference, FOSSACS 2022, Held As Part of the European Joint Conferences on Theory and Practice of Software, ETAPS 2022, Munich, Germany, April 2-7, 2022, Proceedings</t>
  </si>
  <si>
    <t>Tools and Algorithms for the Construction and Analysis of Systems : 28th International Conference, TACAS 2022, Held As Part of the European Joint Conferences on Theory and Practice of Software, ETAPS 2022, Munich, Germany, April 2-7, 2022, Proceedings, Part I</t>
  </si>
  <si>
    <t>Precision Oncology and Cancer Biomarkers : Issues at Stake and Matters of Concern</t>
  </si>
  <si>
    <t>Tools and Algorithms for the Construction and Analysis of Systems : 28th International Conference, TACAS 2022, Held As Part of the European Joint Conferences on Theory and Practice of Software, ETAPS 2022, Munich, Germany, April 2-7, 2022, Proceedings, Part II</t>
  </si>
  <si>
    <t>From Digital Twins to Digital Selves and Beyond : Engineering and Social Models for a Trans-Humanist World</t>
  </si>
  <si>
    <t>Evidence and Expertise in Nordic Education Policy : A Comparative Network Analysis</t>
  </si>
  <si>
    <t>Bullying Im Klassenverband - Doch Nicht Nur in der Schule : Eine Charakterisierung der Rollen Bei Schul- und Cyberbullying</t>
  </si>
  <si>
    <t>Organizational, Motivational, and Cultural Contexts of Volunteering : The European View</t>
  </si>
  <si>
    <t>Diskurs und Materialität : Eine Dispositivanalyse des Drogentestens</t>
  </si>
  <si>
    <t>Infrastructure Investment in Indonesia : A Focus on Ports</t>
  </si>
  <si>
    <t>Russian in The 1740s</t>
  </si>
  <si>
    <t>The Twilight of the Avant-Garde : Spanish Poetry 1980-2000</t>
  </si>
  <si>
    <t>Ciaran Carson : Space, Place, Writing</t>
  </si>
  <si>
    <t>Essentials of Financial Management</t>
  </si>
  <si>
    <t>The Letters of Elizabeth Rigby, Lady Eastlake</t>
  </si>
  <si>
    <t>Diasporic Hallyu : The Korean Wave in Korean Canadian Youth Culture</t>
  </si>
  <si>
    <t>Multimedia Forensics</t>
  </si>
  <si>
    <t>Automatic Adaptation of Swedish Text for Increased Inclusion</t>
  </si>
  <si>
    <t>Legitimacy and comprehensibility of work-related assessments and official decisions within the sickness insurance system</t>
  </si>
  <si>
    <t>Police Code of Silence in Times of Change</t>
  </si>
  <si>
    <t>Krankenhaus-Report 2022 : Patientenversorgung Während der Pandemie</t>
  </si>
  <si>
    <t>Selbstbestimmung, Privatheit und Datenschutz : Gestaltungsoptionen Für Einen Europäischen Weg</t>
  </si>
  <si>
    <t>Assessment of Cancer Screening : A Primer</t>
  </si>
  <si>
    <t>Cybersecurity of Digital Service Chains : Challenges, Methodologies, and Tools</t>
  </si>
  <si>
    <t>Feeling Political : Emotions and Institutions Since 1789</t>
  </si>
  <si>
    <t>Recent Advances in Industrial and Applied Mathematics</t>
  </si>
  <si>
    <t>Root, Tuber and Banana Food System Innovations : Value Creation for Inclusive Outcomes</t>
  </si>
  <si>
    <t>Politische Bildung Für Die Digitale Öffentlichkeit : Umgang Mit Politischer Information und Kommunikation in Digitalen Räumen</t>
  </si>
  <si>
    <t>The Reflector</t>
  </si>
  <si>
    <t>Across the Copperbelt : Urban and Social Change in Central Africa's Borderland Communities</t>
  </si>
  <si>
    <t>Boydell &amp; Brewer, Limited</t>
  </si>
  <si>
    <t>Berlioz in Time : From Early Recognition to Lasting Renown</t>
  </si>
  <si>
    <t>Health and Zionism : The Israeli Health Care System, 1948-1960</t>
  </si>
  <si>
    <t>Electricity in Africa : The Politics of Transformation in Uganda</t>
  </si>
  <si>
    <t>Coming Out</t>
  </si>
  <si>
    <t>Boydell &amp; Brewer, Incorporated</t>
  </si>
  <si>
    <t>The Consistory and Social Discipline in Calvin's Geneva</t>
  </si>
  <si>
    <t>The Workers' Health Fund in Eretz Israel : Kupat Holim, 1911-1937</t>
  </si>
  <si>
    <t>Capital and Corporal Punishment in Anglo-Saxon England</t>
  </si>
  <si>
    <t>West African Masking Traditions and Diaspora Masquerade Carnivals : History, Memory, and Transnationalism</t>
  </si>
  <si>
    <t>Causes and Consequences of Impulsivity in Red Junglefowl</t>
  </si>
  <si>
    <t>High-Performance Nickel-based Superalloys for Additive Manufacturing</t>
  </si>
  <si>
    <t>Dealing with damaged lysosomes : Impact of lysosomal membrane stability in health and disease</t>
  </si>
  <si>
    <t>Health Dimensions of COVID-19 in India and Beyond</t>
  </si>
  <si>
    <t>Data Science-Based Full-Lifespan Management of Lithium-Ion Battery : Manufacturing, Operation and Reutilization</t>
  </si>
  <si>
    <t>Logischer Empirismus, Lebensreform und Die Deutsche Jugendbewegung : Logical Empiricism, Life Reform, and the German Youth Movement</t>
  </si>
  <si>
    <t>Narrative Ethics in Public Health: the Value of Stories</t>
  </si>
  <si>
    <t>A Prodigy of Universal Genius: Robert Leslie Ellis, 1817-1859</t>
  </si>
  <si>
    <t>Proceedings of the 8th International Conference on Civil Engineering</t>
  </si>
  <si>
    <t>Von Verteidigern und Entdeckern : Ein Neuer Identitätskonflikt in Europa</t>
  </si>
  <si>
    <t>Quantifying Quality of Life : Incorporating Daily Life into Medicine</t>
  </si>
  <si>
    <t>Torture, Humiliate, Kill : Inside the Bosnian Serb Camp System</t>
  </si>
  <si>
    <t>Effects of Commercial Hatchery Processing on Behaviour and Welfare of Laying Hens</t>
  </si>
  <si>
    <t>Ontology-Driven Data Access and Data Integration with an Application in the Materials Design Domain</t>
  </si>
  <si>
    <t>Optimisation Models for Train Timetabling and Marshalling Yard Planning</t>
  </si>
  <si>
    <t>Clinical and Biological Factors Related to Survival in Patients with Rectal Cancer</t>
  </si>
  <si>
    <t>Decolonisations of Literature : Critical Practice in Africa and Brazil After 1945</t>
  </si>
  <si>
    <t>Modern Cryptography Volume 1 : A Classical Introduction to Informational and Mathematical Principle</t>
  </si>
  <si>
    <t>Modern Introduction To Particle Physics, A (3rd Edition)</t>
  </si>
  <si>
    <t>XxAI - Beyond Explainable AI : International Workshop, Held in Conjunction with ICML 2020, July 18, 2020, Vienna, Austria, Revised and Extended Papers</t>
  </si>
  <si>
    <t>Motivationale Aspekte Mathematischer Lernprozesse : Eine Untersuchung Zu Professionellen Kompetenzen der Motivationsförderung Im Mathematikunterricht</t>
  </si>
  <si>
    <t>Bienen an der Hochschule : Ein Interdisziplinäres Nachhaltigkeitsprojekt</t>
  </si>
  <si>
    <t>Being Human During COVID</t>
  </si>
  <si>
    <t>Hizmet in Transitions : European Developments of a Turkish Muslim-Inspired Movement</t>
  </si>
  <si>
    <t>Socio-Technical Innovation Bundles for Agri-Food Systems Transformation</t>
  </si>
  <si>
    <t>Data Assimilation Fundamentals : A Unified Formulation of the State and Parameter Estimation Problem</t>
  </si>
  <si>
    <t>Covid-19 and Capitalism : Success and Failure of the Legal Methods for Dealing with a Pandemic</t>
  </si>
  <si>
    <t>Contemporary Housing Struggles : A Structural Field of Contention Approach</t>
  </si>
  <si>
    <t>Condition Monitoring in Mobile Mining Machinery</t>
  </si>
  <si>
    <t>Multispectral Imaging of Hemoglobin Oxygen Saturation in Skin Microcirculation</t>
  </si>
  <si>
    <t>Control Problems for Conservation Laws with Traffic Applications : Modeling, Analysis, and Numerical Methods</t>
  </si>
  <si>
    <t>Questioning the Entrepreneurial State : Status-Quo, Pitfalls, and the Need for Credible Innovation Policy</t>
  </si>
  <si>
    <t>Publishing Sacrobosco's de Sphaera in Early Modern Europe : Modes of Material and Scientific Exchange</t>
  </si>
  <si>
    <t>Lives in Peace Research : The Oslo Stories</t>
  </si>
  <si>
    <t>Energy-Efficient and Semi-Automated Truck Platooning : Research and Evaluation</t>
  </si>
  <si>
    <t>Crisis Response in Higher Education : How the Pandemic Challenged University Operations and Organisation</t>
  </si>
  <si>
    <t>Assessment of Energy-Efficient Building Details for Seismic Regions</t>
  </si>
  <si>
    <t>Schützende Bewältigung : Eine Grounded Theory Zu Diskriminierungserfahrungen Von Fachkräften in der Sozialen Arbeit</t>
  </si>
  <si>
    <t>Die Beharrliche Mitte - Wenn Investive Statusarbeit Funktioniert</t>
  </si>
  <si>
    <t>The Political Economy of Non-Western Migration Regimes : Central Asian Migrant Workers in Russia and Turkey</t>
  </si>
  <si>
    <t>Technologies and Applications for Big Data Value</t>
  </si>
  <si>
    <t>Perioperative Strategies to Prevent Surgical Site Infection after Shoulder Surgery</t>
  </si>
  <si>
    <t>Refractory High-Entropy Alloy and Nitride Thin Films</t>
  </si>
  <si>
    <t>Computational Modelling of Organic Bioelectronic Devices and Materials</t>
  </si>
  <si>
    <t>Producing Food, Security, and the Geopolitical Subject</t>
  </si>
  <si>
    <t>Development of Functionalized Protein Materials</t>
  </si>
  <si>
    <t>Big Data and Artificial Intelligence in Digital Finance : Increasing Personalization and Trust in Digital Finance Using Big Data and AI</t>
  </si>
  <si>
    <t>Romani Liberation : A Northern Perspective on Emancipatory Struggles and Progress</t>
  </si>
  <si>
    <t>The Teleological and Kalam Cosmological Arguments Revisited</t>
  </si>
  <si>
    <t>Popularität und Relevanz in der Suche : Ein Experiment Zur Erforschung Von Relevanzkriterien in Akademischen Suchsystemen</t>
  </si>
  <si>
    <t>Putting PIRLS to Use in Classrooms Across the Globe : Evidence-Based Contributions for Teaching Reading Comprehension in a Multilingual Context</t>
  </si>
  <si>
    <t>Stressbewältigung Durch Pflegekräfte : Konzeptionelle und Empirische Analysen Vor Dem Hintergrund des Copings und der Resilienz</t>
  </si>
  <si>
    <t>Female Genital Mutilation/Cutting in Children and Adolescents : Illustrated Guide to Diagnose, Assess, Inform and Report</t>
  </si>
  <si>
    <t>Mobile Forensics - the File Format Handbook : Common File Formats and File Systems Used in Mobile Devices</t>
  </si>
  <si>
    <t>Care Poverty : When Older People's Needs Remain Unmet</t>
  </si>
  <si>
    <t>Zur Soziologie der Software : Die Rolle Digitaler Technik Bei der Kontrolle Von Unsicherheiten</t>
  </si>
  <si>
    <t>Product Development Within Artificial Intelligence, Ethics and Legal Risk : Exemplary for Safe Autonomous Vehicles</t>
  </si>
  <si>
    <t>Water-Filtered Infrared a (wIRA) Irradiation : From Research to Clinical Settings</t>
  </si>
  <si>
    <t>Transnational Modern Languages : A Handbook</t>
  </si>
  <si>
    <t>Proust and America : The Influence of American Art, Culture, and Literature on a la Recherché du Temps Perdu</t>
  </si>
  <si>
    <t>Remaking the Voyage : New Essays on Malcolm Lowry and 'in Ballast to the White Sea'</t>
  </si>
  <si>
    <t>Optimierung der Tragfähigkeit Von Zahnwellenverbindungen</t>
  </si>
  <si>
    <t>Jesuit and English Experiences at the Mughal Court, C. 1580-1615</t>
  </si>
  <si>
    <t>Sustainable Energy Access for Communities : Rethinking the Energy Agenda for Cities</t>
  </si>
  <si>
    <t>Learning, Philosophy, and African Citizenship</t>
  </si>
  <si>
    <t>Fethullah Gülen's Teaching and Practice : Inheritance, Context, and Interactive Development</t>
  </si>
  <si>
    <t>Demographic and Family Transition in Southeast Asia</t>
  </si>
  <si>
    <t>Anisotropic Mechanical Behaviours and Thin-Wall Effects of Additively Manufactured Austenitic Alloys</t>
  </si>
  <si>
    <t>Crack Growth in Single Crystal Gas Turbine Blade Alloys under Service-Like Conditions</t>
  </si>
  <si>
    <t>Hybrid Materials for Wearable Electronics and Electrochemical Systems</t>
  </si>
  <si>
    <t>Piezoelectric Electromechanical Transducers for Underwater Sound, Part II</t>
  </si>
  <si>
    <t>Piezoelectric Electromechanical Transducers for Underwater Sound, Part I</t>
  </si>
  <si>
    <t>Ausbildungsqualitäten - Andersartig, Aber Gleichwertig? : Ein Vergleich Konkurrierender Gesundheitsausbildungen in der Schweiz</t>
  </si>
  <si>
    <t>Improvising Reconciliation : Confession after the Truth Commission</t>
  </si>
  <si>
    <t>The Unfinished Revolution : Haiti, Black Sovereignty and Power in the Nineteenth-Century Atlantic World</t>
  </si>
  <si>
    <t>Computational Physiology : Simula Summer School 2021  Student Reports</t>
  </si>
  <si>
    <t>Anthropology, Film Industries, Modularity</t>
  </si>
  <si>
    <t>Methods for Faecal Sludge Analysis</t>
  </si>
  <si>
    <t>Métodos Experimentales para el Tratamiento de Aguas Residuales</t>
  </si>
  <si>
    <t>Environmental Technologies to Treat Sulfur Pollution : Principles and Engineering</t>
  </si>
  <si>
    <t>Environmental Technologies to Treat Selenium Pollution : Principles and Engineering</t>
  </si>
  <si>
    <t>Microbial Desalination Cells for Low Energy Drinking Water</t>
  </si>
  <si>
    <t>Implementing the Water-Energy-Food- Ecosystems Nexus and Achieving the Sustainable Development Goals</t>
  </si>
  <si>
    <t>Indicadores de Desempeño para Servicios de Saneamiento: Manual de Buenas Prácticas</t>
  </si>
  <si>
    <t>Melbourne 2030 : Planning Rhetoric Versus Urban Reality</t>
  </si>
  <si>
    <t>Fault Lines Exposed : Advantage and Disadvantage Across Australia's Settlement System</t>
  </si>
  <si>
    <t>Orb and Sceptre : Studies in British Imperialism and Its Legacies, in Honour of Norman Etherington</t>
  </si>
  <si>
    <t>Australians in Italy : Contemporary Lives and Impressions</t>
  </si>
  <si>
    <t>Seize the Day: Exhibitions : Exhibitions, Australia and the World</t>
  </si>
  <si>
    <t>Writing Histories : Imagination and Narration</t>
  </si>
  <si>
    <t>Drawing the Line : Using Cartoons As Historical Evidence</t>
  </si>
  <si>
    <t>Australians in Britain : The Twentieth-Century Experience</t>
  </si>
  <si>
    <t>Complicated Currents : Media Flows, Soft Power and East Asia</t>
  </si>
  <si>
    <t>From Ferranti to Faculty : Information Technology at Monash University, 1960 To 1990</t>
  </si>
  <si>
    <t>Still Learning : A 50 Year History of Monash University Peninsula Campus</t>
  </si>
  <si>
    <t>Jean Primrose Whyte : A Professional Biography</t>
  </si>
  <si>
    <t>A Pedagogy of Place : Outdoor Education for a Changing World</t>
  </si>
  <si>
    <t>The Sexual Abuse of Children : Recognition and Redress</t>
  </si>
  <si>
    <t>First Blood : A Cultural Study of Menarche</t>
  </si>
  <si>
    <t>The Project As a Social System : Asia-Pacific Perspectives on Project Management</t>
  </si>
  <si>
    <t>Verge 2011 : The Unknowable</t>
  </si>
  <si>
    <t>A Home Away from Home? : International Students in Australian and South African Higher Education</t>
  </si>
  <si>
    <t>Old Myths and New Approaches : Interpreting Ancient Religious Sites in Southeast Asia</t>
  </si>
  <si>
    <t>Reading Robinson : Companion Essays to George Augustus Robinson's Friendly Mission</t>
  </si>
  <si>
    <t>Wanderings in India : Australian Perceptions</t>
  </si>
  <si>
    <t>Knowing Indonesia : Intersections of Self, Discipline and Nation</t>
  </si>
  <si>
    <t>Verge 2012 : Inverse</t>
  </si>
  <si>
    <t>Theories, Practices and Examples for Community and Social Informatics</t>
  </si>
  <si>
    <t>The Market in Babies : Stories of Australian Adoption</t>
  </si>
  <si>
    <t>From a Broom Cupboard : 20 Years of Rural Health at Monash University</t>
  </si>
  <si>
    <t>Kartini : The Complete Writings, 1898-1904</t>
  </si>
  <si>
    <t>Breaking the Silence : Survivors Speak about 1965-66 Violence in Indonesia</t>
  </si>
  <si>
    <t>Verge 2013 : Becoming</t>
  </si>
  <si>
    <t>Witch-Hunt and Conspiracy : The 'Ninja Case' in East Java</t>
  </si>
  <si>
    <t>Digital Divas : Putting the Wow into Computing for Girls</t>
  </si>
  <si>
    <t>Women, War and Islamic Radicalisation in Maryam Mahboob's Afghanistan</t>
  </si>
  <si>
    <t>Small Screens : Essays on Contemporary Australian Television</t>
  </si>
  <si>
    <t>Writing for Raksmey : A Story of Cambodia</t>
  </si>
  <si>
    <t>How to Vote Progressive in Australia : Labor or Green?</t>
  </si>
  <si>
    <t>Making a Difference : Fifty Years of Indigenous Programs at Monash University, 1964-2014</t>
  </si>
  <si>
    <t>Beyond Gallipoli : New Perspectives on Anzac</t>
  </si>
  <si>
    <t>The Return of Print? : Contemporary Australian Publishing</t>
  </si>
  <si>
    <t>Australia's Northern Shield? : Papua New Guinea and the Defence of Australia Since 1880</t>
  </si>
  <si>
    <t>Required Reading : Literature in Australian Schools Since 1945</t>
  </si>
  <si>
    <t>From Roadside to Recovery : The Story of the Victorian State Trauma System</t>
  </si>
  <si>
    <t>Recordkeeping Informatics for a Networked Age</t>
  </si>
  <si>
    <t>Jackson's Track Revisited : History, Remembrance and Reconciliation</t>
  </si>
  <si>
    <t>Learning Discourses and the Discourses of Learning</t>
  </si>
  <si>
    <t>No Way to Go : Transport and Social Disadvantage in Australian Communities</t>
  </si>
  <si>
    <t>Publishing Means Business : Australian Perspectives</t>
  </si>
  <si>
    <t>What Matters? : Talking Value in Australian Culture</t>
  </si>
  <si>
    <t>Leveraging Data Science for Global Health</t>
  </si>
  <si>
    <t>Keeping the World's Environment under Review : An Intellectual History of the Global Environment Outlook</t>
  </si>
  <si>
    <t>Growing in the Shadow of Antifascism : Remembering the Holocaust in State-Socialist Eastern Europe</t>
  </si>
  <si>
    <t>Free-Market Socialists : European Émigrés Who Made Capitalist Culture in America, 1918-1968</t>
  </si>
  <si>
    <t>Under the Radar : Tracking Western Radio Listeners in the Soviet Union</t>
  </si>
  <si>
    <t>Policemen of the Tsar : Local Police in an Age of Upheaval</t>
  </si>
  <si>
    <t>The Triumph of Uncertainty : Science and Self in the Postmodern Age</t>
  </si>
  <si>
    <t>La Vache Globale : La Génétique Dans l'industrialisation du Vivant</t>
  </si>
  <si>
    <t>Le Bien-être des Animaux D'élevage : Améliorer le Bien-être Animal</t>
  </si>
  <si>
    <t>Les Communs : Un Autre Récit Pour la Coopération Territoriale</t>
  </si>
  <si>
    <t>L'élevage des Grands Camélidés</t>
  </si>
  <si>
    <t>Concept and Design Developments in School Improvement Research : Longitudinal, Multilevel and Mixed Methods and Their Relevance for Educational Accountability</t>
  </si>
  <si>
    <t>New Business Models for the Reuse of Secondary Resources from WEEEs : The FENIX Project</t>
  </si>
  <si>
    <t>Migration Between Mexico and the United States : IMISCOE Regional Reader</t>
  </si>
  <si>
    <t>Microsimulation Population Projections with SAS : A Reference Guide</t>
  </si>
  <si>
    <t>Land Tenure Security and Sustainable Development</t>
  </si>
  <si>
    <t>Making Ammonia : Fritz Haber, Walther Nernst, and the Nature of Scientific Discovery</t>
  </si>
  <si>
    <t>The Palgrave Handbook of International Energy Economics</t>
  </si>
  <si>
    <t>Wildland Fire Smoke in the United States : A Scientific Assessment</t>
  </si>
  <si>
    <t>Wheat Improvement : Food Security in a Changing Climate</t>
  </si>
  <si>
    <t>Land Use Cover Datasets and Validation Tools : Validation Practices with QGIS</t>
  </si>
  <si>
    <t>Causal Mechanisms in the Global Development of Social Policies</t>
  </si>
  <si>
    <t>From Decoding Turbulence to Unveiling the Fingerprint of Climate Change : Klaus Hasselmann--Nobel Prize Winner in Physics 2021</t>
  </si>
  <si>
    <t>Migration in Southern Africa : IMISCOE Regional Reader</t>
  </si>
  <si>
    <t>Stable Isotopes in Tree Rings : Inferring Physiological, Climatic and Environmental Responses</t>
  </si>
  <si>
    <t>Designing Data Spaces : The Ecosystem Approach to Competitive Advantage</t>
  </si>
  <si>
    <t>Perspectives on Public Policy in Societal-Environmental Crises : What the Future Needs from History</t>
  </si>
  <si>
    <t>Age-Inclusive ICT Innovation for Service Delivery in South Africa : A Developing Country Perspective</t>
  </si>
  <si>
    <t>The Diversity of Worldviews among Young Adults : Contemporary (Non)Religiosity and Spirituality Through the Lens of an International Mixed Method Study</t>
  </si>
  <si>
    <t>Emotions in Korean Philosophy and Religion : Confucian, Comparative, and Contemporary Perspectives</t>
  </si>
  <si>
    <t>Gesundheit - Konventionen - Digitalisierung : Eine Politische Ökonomie der (digitalen) Transformationsprozesse Von und Um Gesundheit</t>
  </si>
  <si>
    <t>Wohnen und Gesundheit Im Alter</t>
  </si>
  <si>
    <t>Die Zukunft Von Privatheit und Selbstbestimmung : Analysen und Empfehlungen Zum Schutz der Grundrechte in der Digitalen Welt</t>
  </si>
  <si>
    <t>Diversity Nutzen und Annehmen : Praxisimplikationen Für das Diversity Management</t>
  </si>
  <si>
    <t>Variable Pitot-Triebwerkseinlässe Für Kommerzielle Überschallflugzeuge : Konzeptstudie Mittels Eines Entwicklungsansatzes Für Sichere Produkte</t>
  </si>
  <si>
    <t>Wohlbefinden und Gesundheit Im Jugendalter : Theoretische Perspektiven, Empirische Befunde und Praxisansätze</t>
  </si>
  <si>
    <t>Resilienz Durch Organisationsentwicklung : Forschung und Praxis</t>
  </si>
  <si>
    <t>,,Beyond the Wall : Game of Thrones Aus Interdisziplinärer Perspektive</t>
  </si>
  <si>
    <t>Standardisierte Inhaltsanalyse in der Kommunikationswissenschaft - Standardized Content Analysis in Communication Research : Ein Handbuch - a Handbook</t>
  </si>
  <si>
    <t>Alpine Landgesellschaften Zwischen Urbanisierung und Globalisierung</t>
  </si>
  <si>
    <t>Religionstrends in der Schweiz : Religion, Spiritualität und Säkularität Im Gesellschaftlichen Wandel</t>
  </si>
  <si>
    <t>Altern Als Zukunft - eine Studie der VolkswagenStiftung</t>
  </si>
  <si>
    <t>Ressourceneffizienz und Nachhaltigkeit : Sechs Planspiele Für Die Betriebliche Weiterbildung</t>
  </si>
  <si>
    <t>Kommunikation und Bildverarbeitung in der Automation : Ausgewählte Beiträge der Jahreskolloquien KommA und BVAu 2020</t>
  </si>
  <si>
    <t>Nachhaltiges Personalmanagement Als Schlüsselfaktor Für Erfolgreiches Wirtschaften : Eine Linguistische Diskursanalyse Ausgewählter Unternehmenstexte und Printmedien</t>
  </si>
  <si>
    <t>Locating Legal Certainty in Patent Licensing</t>
  </si>
  <si>
    <t>Forest Radioecology in Fukushima : Radiocesium Dynamics, Impact, and Future</t>
  </si>
  <si>
    <t>Liberalism and Transformation : The Global Politics of Violence and Intervention</t>
  </si>
  <si>
    <t>Authorship and Text-Making in Early China</t>
  </si>
  <si>
    <t>The Poetry of Cao Zhi</t>
  </si>
  <si>
    <t>Public History and School : International Perspectives</t>
  </si>
  <si>
    <t>Stealing the Club from Hercules : On Imitation in Latin Poetry</t>
  </si>
  <si>
    <t>Physics and Literature : Concepts - Transfer - Aestheticization</t>
  </si>
  <si>
    <t>Golda Meir : A Political Biography</t>
  </si>
  <si>
    <t>Summa Theologica Halensis: de Legibus et Praeceptis : Lateinischer Text Mit Übersetzung und Kommentar</t>
  </si>
  <si>
    <t>Grundfragen der Lyrikologie 1 : Lyrisches Ich, Textsubjekt, Sprecher?</t>
  </si>
  <si>
    <t>Ikonen der Nationen : Heldendarstellungen Im Post-Sozialistischen Kroatien und Serbien</t>
  </si>
  <si>
    <t>Quantitative Ansätze in Den Literatur- und Geisteswissenschaften : Systematische und Historische Perspektiven</t>
  </si>
  <si>
    <t>Converts of Conviction : Faith and Scepticism in Nineteenth Century European Jewish Society</t>
  </si>
  <si>
    <t>Indic Manuscript Cultures Through the Ages : Material, Textual, and Historical Investigations</t>
  </si>
  <si>
    <t>Hermann Kurz und Die 'Poesie der Wirklichkeit' : Studien Zum Frühwerk, Texte Aus Dem Nachlass</t>
  </si>
  <si>
    <t>Medizinische Gutachten des 17. und 18. Jahrhunderts : Sprachhistorische Untersuchungen Zu Einer Textsortenklasse</t>
  </si>
  <si>
    <t>Discursive Renovatio in Lope de Vega and Calderón : Studies on Spanish Baroque Drama</t>
  </si>
  <si>
    <t>Framing Intellectual and Lived Spaces in Early South Asia : Sources and Boundaries</t>
  </si>
  <si>
    <t>Verschmelzung Von Präposition und Artikel : Eine Kontrastive Analyse Zum Deutschen und Italienischen</t>
  </si>
  <si>
    <t>Yearbook of the Maimonides Centre for Advanced Studies. 2018</t>
  </si>
  <si>
    <t>The Civilising Offensive : Social and Educational Reform in 19th Century Belgium</t>
  </si>
  <si>
    <t>Europäer in der Levante - Zwischen Politik, Wissenschaft und Religion (19. -20. Jahrhundert) : Des Européens Au Levant - Entre Politique, Science et Religion (XIXe-XXe Siècles)</t>
  </si>
  <si>
    <t>Language, Nation, Race : Linguistic Reform in Meiji Japan (1868-1912)</t>
  </si>
  <si>
    <t>Multiculturalism in the British Commonwealth : Comparative Perspectives on Theory and Practice</t>
  </si>
  <si>
    <t>Renaissance Futurities : Science, Art, Invention</t>
  </si>
  <si>
    <t>The Divo and the Duce : Promoting Film Stardom and Political Leadership in 1920s America</t>
  </si>
  <si>
    <t>The Emergence of Modern Hinduism : Religion on the Margins of Colonialism</t>
  </si>
  <si>
    <t>Where Truth Lies : Digital Culture and Documentary Media After 9/11</t>
  </si>
  <si>
    <t>The Clarion of Syria : A Patriot's Call Against the Civil War Of 1860</t>
  </si>
  <si>
    <t>Frame by Frame : A Materialist Aesthetics of Animated Cartoons</t>
  </si>
  <si>
    <t>What Is a Family? : Answers from Early Modern Japan</t>
  </si>
  <si>
    <t>Music of a Thousand Years : A New History of Persian Musical Traditions</t>
  </si>
  <si>
    <t>Creating the Intellectual : Chinese Communism and the Rise of a Classification</t>
  </si>
  <si>
    <t>The Saburo Hasegawa Reader</t>
  </si>
  <si>
    <t>Impersonations : The Artifice of Brahmin Masculinity in South Indian Dance</t>
  </si>
  <si>
    <t>Witness to Marvels : Sufism and Literary Imagination</t>
  </si>
  <si>
    <t>The Social Question in the Twenty-First Century : A Global View</t>
  </si>
  <si>
    <t>The Persianate World : The Frontiers of a Eurasian Lingua Franca</t>
  </si>
  <si>
    <t>The Prison of Democracy : Race, Leavenworth, and the Culture of Law</t>
  </si>
  <si>
    <t>Louder and Faster : Pain, Joy, and the Body Politic in Asian American Taiko</t>
  </si>
  <si>
    <t>Public Goods Provision in the Early Modern Economy : Comparative Perspectives from Japan, China, and Europe</t>
  </si>
  <si>
    <t>Chinese Poetry and Translation : Rights and Wrongs</t>
  </si>
  <si>
    <t>Marginal People in Deviant Places : Ethnography, Difference, and the Challenge to Scientific Racism</t>
  </si>
  <si>
    <t>How Megaprojects Are Damaging Nigeria and How to Fix It : A Practical Guide to Mastering Very Large Government Projects</t>
  </si>
  <si>
    <t>Cultural Representations of Gender Vulnerability and Resistance : A Mediterranean Approach to the Anglosphere</t>
  </si>
  <si>
    <t>Regularized System Identification : Learning Dynamic Models from Data</t>
  </si>
  <si>
    <t>A Comprehensive Dynamic Model of the Adipocyte</t>
  </si>
  <si>
    <t>Bifurcations and Exchange of Stability with Density Dependence in a Coinfection Model and an Age-Structured Population Model</t>
  </si>
  <si>
    <t>A Vehicle for Change : Popular Representations of the Automobile in 20th-Century France</t>
  </si>
  <si>
    <t>Civil and Environmental Engineering for the Sustainable Development Goals : Emerging Issues</t>
  </si>
  <si>
    <t>Handbook of Research on the Global View of Open Access and Scholarly Communications</t>
  </si>
  <si>
    <t>IGI Global</t>
  </si>
  <si>
    <t>Journeys Towards Intercultural Capability in Language Classrooms : Voices from Students, Teachers and Researchers</t>
  </si>
  <si>
    <t>Organization Management - Dynamic Creative Team Coordination</t>
  </si>
  <si>
    <t>Diaspora As Translation and Decolonisation</t>
  </si>
  <si>
    <t>Haptics: Science, Technology, Applications : 13th International Conference on Human Haptic Sensing and Touch Enabled Computer Applications, EuroHaptics 2022, Hamburg, Germany, May 22-25, 2022, Proceedings</t>
  </si>
  <si>
    <t>Flexible Inorganic and Hybrid Thermoelectric Thin Films Based on Layered Calcium Cobaltate</t>
  </si>
  <si>
    <t>New Perspectives in Critical Data Studies : The Ambivalences of Data Power</t>
  </si>
  <si>
    <t>Citizen Participation in the Information Society : Comparing Participatory Channels in Urban Development</t>
  </si>
  <si>
    <t>Ecocene Politics</t>
  </si>
  <si>
    <t>A Common Good Approach to Development : Collective Dynamics of Development Processes</t>
  </si>
  <si>
    <t>A Philosophy of Cover Songs</t>
  </si>
  <si>
    <t>The Voice of the Century : The Culture of Italian Bel Canto in Luisa Tetrazzini's Recorded Interpretations</t>
  </si>
  <si>
    <t>Neuroökonomie : Eine Wissenschaftstheoretische Analyse</t>
  </si>
  <si>
    <t>Landscapes of Lifelong Learning Policies Across Europe : Comparative Case Studies</t>
  </si>
  <si>
    <t>The Socially Responsible Organization : Lessons from COVID</t>
  </si>
  <si>
    <t>Health Crises and Media Discourses in Sub-Saharan Africa</t>
  </si>
  <si>
    <t>Exploring Islamic Social Work : Between Community and the Common Good</t>
  </si>
  <si>
    <t>Digital Platform Regulation : Global Perspectives on Internet Governance</t>
  </si>
  <si>
    <t>Molecules in Superfluid Helium Nanodroplets : Spectroscopy, Structure, and Dynamics</t>
  </si>
  <si>
    <t>Smart Cities in Asia : Regulations, Problems, and Development</t>
  </si>
  <si>
    <t>The Pathway to Publishing: a Guide to Quantitative Writing in the Health Sciences</t>
  </si>
  <si>
    <t>Who Saved the Parthenon? : A New History of the Acropolis Before, During and after the Greek Revolution</t>
  </si>
  <si>
    <t>Performing Deception : Learning, Skill and the Art of Conjuring</t>
  </si>
  <si>
    <t>Socio-Spatial Theory in Nordic Geography : Intellectual Histories and Critical Interventions</t>
  </si>
  <si>
    <t>Integrating Science and Politics for Public Health</t>
  </si>
  <si>
    <t>Educational Theory in the 21st Century : Science, Technology, Society and Education</t>
  </si>
  <si>
    <t>Education Policies in the 21st Century : Comparative Perspectives</t>
  </si>
  <si>
    <t>Printing and Prophecy : Prognostication and Media Change 1450-1550</t>
  </si>
  <si>
    <t>Poems of the Five Mountains : An Introduction to the Literature of the Zen Monasteries</t>
  </si>
  <si>
    <t>Daily Life and Demographics in Ancient Japan</t>
  </si>
  <si>
    <t>Economic Exchange and Social Interaction in Southeast Asia : Perspectives from Prehistory, History, and Ethnography</t>
  </si>
  <si>
    <t>Law, Liberty, and the Pursuit of Terrorism</t>
  </si>
  <si>
    <t>Paninian Studies : Professor S. D. Joshi Felicitation Volume</t>
  </si>
  <si>
    <t>The Mertiyo Rathors of Merto, Rajasthan : Select Translations Bearing on the History of a Rajput Family, 1462-1660, Volumes 1-2</t>
  </si>
  <si>
    <t>Double Jeopardy : A Critique of Seven yüan Courtroom Dramas</t>
  </si>
  <si>
    <t>Guns, Democracy, and the Insurrectionist Idea</t>
  </si>
  <si>
    <t>A Tanizaki Feast : The International Symposium in Venice</t>
  </si>
  <si>
    <t>Skate Life : Re-Imagining White Masculinity</t>
  </si>
  <si>
    <t>Swallows and Settlers : The Great Migration from North China to Manchuria</t>
  </si>
  <si>
    <t>Chinese Communist Materials at the Bureau of Investigation Archives, Taiwan</t>
  </si>
  <si>
    <t>Christian Converts and Social Protests in Meiji Japan</t>
  </si>
  <si>
    <t>Two Twelfth-Century Texts on Chinese Painting</t>
  </si>
  <si>
    <t>An Index to Reproductions of Paintings by Twentieth-Century Chinese Artists</t>
  </si>
  <si>
    <t>This Gaming Life : Travels in Three Cities</t>
  </si>
  <si>
    <t>Law and Kingship in Thailand During the Reign of King Chulalongkorn</t>
  </si>
  <si>
    <t>Anatomizing Civil War : Studies in Lucan's Epic Technique</t>
  </si>
  <si>
    <t>Punishment and Political Order</t>
  </si>
  <si>
    <t>Ethnic Diversity and the Control of Natural Resources in Southeast Asia</t>
  </si>
  <si>
    <t>China's Allocation of Fixed Capital Investment, 1952-1957</t>
  </si>
  <si>
    <t>Pearl from the Dragon's Mouth : Evocation of Scene and Feeling in Chinese Poetry</t>
  </si>
  <si>
    <t>The Tale of Matsura : Fujiwara Teika's Experiment in Fiction</t>
  </si>
  <si>
    <t>The Sian Incident : A Pivotal Point in Modern Chinese History</t>
  </si>
  <si>
    <t>Boundaries of the Text : Epic Performances in South and Southeast Asia</t>
  </si>
  <si>
    <t>Partisan Gerrymandering and the Construction of American Democracy</t>
  </si>
  <si>
    <t>The Black Arts Enterprise and the Production of African American Poetry</t>
  </si>
  <si>
    <t>The Japanese Automotive Industry : Model and Challenge for the Future?</t>
  </si>
  <si>
    <t>Publishing Blackness : Textual Constructions of Race Since 1850</t>
  </si>
  <si>
    <t>The Black Musician and the White City : Race and Music in Chicago, 1900-1967</t>
  </si>
  <si>
    <t>Industry at the Crossroads</t>
  </si>
  <si>
    <t>Explorations in Early Southeast Asian History : The Origins of Southeast Asian Statecraft</t>
  </si>
  <si>
    <t>Social Organization in South China, 1911-1949 : The Case of Kuan Lineage in K'ai-P'ing County</t>
  </si>
  <si>
    <t>Japan in the World, the World in Japan : Fifty Years of Japanese Studies at Michigan</t>
  </si>
  <si>
    <t>Greening China : The Benefits of Trade and Foreign Direct Investment</t>
  </si>
  <si>
    <t>The Kagero Diary : A Woman's Autobiographical Text from Tenth-Century Japan</t>
  </si>
  <si>
    <t>Veto Power : Institutional Design in the European Union</t>
  </si>
  <si>
    <t>Global Digital Cultures : Perspectives from South Asia</t>
  </si>
  <si>
    <t>Salt and State : An Annotated Translation of the Songshi Salt Monopoly Treatise</t>
  </si>
  <si>
    <t>Mammographies : The Cultural Discourses of Breast Cancer Narratives</t>
  </si>
  <si>
    <t>Sukeroku's Double Identity : The Dramatic Structure of Edo Kabuki</t>
  </si>
  <si>
    <t>Introduction to Old Javanese Language and Literature : A Kawi Prose Anthology</t>
  </si>
  <si>
    <t>A Bibliography of Chinese Language Materials on the People's Communes</t>
  </si>
  <si>
    <t>Towards Gender Equality in Law : An Analysis of State Failures from a Global Perspective</t>
  </si>
  <si>
    <t>Struggle Country : The Rural Ideal in Twentieth Century Australia</t>
  </si>
  <si>
    <t>The Spirit of Secular Art : A History of the Sacramental Roots of Contemporary Artistic Values</t>
  </si>
  <si>
    <t>Alpine Industrial Landscapes : Towards a New Approach for Brownfield Redevelopment in Mountain Regions</t>
  </si>
  <si>
    <t>How to Build a Modern Tontine : Algorithms, Scripts and Tips</t>
  </si>
  <si>
    <t>Resourceful Civil Society : Navigating the Changing Landscapes of Civil Society Organizations</t>
  </si>
  <si>
    <t>Women in STEM in Higher Education : Good Practices of Attraction, Access and Retainment in Higher Education</t>
  </si>
  <si>
    <t>Learning Analytics: a Metacognitive Tool to Engage Students : Research Study</t>
  </si>
  <si>
    <t>Handwerk in Europa : Vom Spätmittelalter Bis Zur Frühen Neuzeit</t>
  </si>
  <si>
    <t>Die Indirekte Kommunikation in Frankreich : Reflexionen über Die Kunst des Impliziten in der Französischen Literatur</t>
  </si>
  <si>
    <t>Renaissance- und Humanistenhandschriften</t>
  </si>
  <si>
    <t>Die Predigt Im 19. Jahrhundert : Kritische Bemerkungen und Praktische Winke</t>
  </si>
  <si>
    <t>Ostasienwissenschaften : Meyer-Struckmann-Preis 2016: Florian Coulmas</t>
  </si>
  <si>
    <t>Klassische Archäologie : Meyer-Struckmann-Preis 2014: Alain Schnapp</t>
  </si>
  <si>
    <t>Bronze Age Lives</t>
  </si>
  <si>
    <t>Romantik Zwischen Zwei Welten : Potsdamer Vorlesungen Zu Den Hauptwerken der Romanischen Literaturen des 19. Jahrhunderts</t>
  </si>
  <si>
    <t>Family Instructions for the Yan Clan and Other Works by Yan Zhitui (531-590s)</t>
  </si>
  <si>
    <t>Neues Aus Wissenschaft und Lehre der Heinrich-Heine-Universität Düsseldorf 2010</t>
  </si>
  <si>
    <t>Planning in Cold War Europe : Competition, Cooperation, Circulations (1950s-1970s)</t>
  </si>
  <si>
    <t>Sterben dürfen Im Krankenhaus : Paradoxien Eines ärztlichen Postulats in der Behandlung Schwerstkranker</t>
  </si>
  <si>
    <t>Differential Object Marking in Romance : The Third Wave</t>
  </si>
  <si>
    <t>Conceptual Joining : Wood Structures from Detail to Utopia / Holzstrukturen Im Experiment</t>
  </si>
  <si>
    <t>Poetic Critique : Encounters with Art and Literature</t>
  </si>
  <si>
    <t>Word Knowledge and Word Usage : A Cross-Disciplinary Guide to the Mental Lexicon</t>
  </si>
  <si>
    <t>Frames Interdisziplinär: Modelle, Anwendungsfelder, Methoden</t>
  </si>
  <si>
    <t>Prolegomena Zu Einer Geschichte des Begriffes Nachfolge Christi</t>
  </si>
  <si>
    <t>1895-04-01</t>
  </si>
  <si>
    <t>Erinnerungen an Rainer Maria Rilke</t>
  </si>
  <si>
    <t>Medienwissenschaften : Meyer-Struckmann-Preis 2015: Winfried Schulz</t>
  </si>
  <si>
    <t>Digital Roots : Historicizing Media and Communication Concepts of the Digital Age</t>
  </si>
  <si>
    <t>Opfernarrative in Transnationalen Kontexten</t>
  </si>
  <si>
    <t>Dialektik und Rhetorik Im Frühen und Hohen Mittelalter : Rezeption, Überlieferung und Gesellschaftliche Wirkung Antiker Gelehrsamkeit Vornehmlich Im 9. und 12. Jahrhundert</t>
  </si>
  <si>
    <t>Poetry and Truth</t>
  </si>
  <si>
    <t>Regions in International Trade</t>
  </si>
  <si>
    <t>Shared Margins : An Ethnography with Writers in Alexandria after the Revolution</t>
  </si>
  <si>
    <t>Apprendre la Langue Rwanda</t>
  </si>
  <si>
    <t>World Editors : Dynamics of Global Publishing and the Latin American Case Between the Archive and the Digital Age</t>
  </si>
  <si>
    <t>Perspectives and Research on Play for Children with Disabilities : Collected Papers</t>
  </si>
  <si>
    <t>Olympische Statuten</t>
  </si>
  <si>
    <t>Education Materialised : Reconstructing Teaching and Learning Contexts Through Manuscripts</t>
  </si>
  <si>
    <t>Black Boxes - Versiegelungskontexte Und Öffnungsversuche : Interdisziplinäre Perspektiven</t>
  </si>
  <si>
    <t>Das Sutta Nipâta : Eine Sammlung Von Gesprächen Welche Zu Den Kanonischen Büchern der Buddhisten Gehört</t>
  </si>
  <si>
    <t>1889-04-01</t>
  </si>
  <si>
    <t>Laien, Wissen, Sprache : Theoretische, Methodische und Domänenspezifische Perspektiven</t>
  </si>
  <si>
    <t>Krieg und Geist : Das Mißtrauen in Den Geist Als Ursache Unseres Miltärischen Versagens Zu Beginn des Weltkrieges</t>
  </si>
  <si>
    <t>Stories That Make History : The Experience and Memories of the Japanese Military Comfort Girls-Women</t>
  </si>
  <si>
    <t>Genealogy, Archive, Image : Interpreting Dynastic History in Western India, C. 1090-2016</t>
  </si>
  <si>
    <t>Ausstellungskommunikation : Eine Linguistische Untersuchung Multimodaler Wissenskommunikation Im Raum</t>
  </si>
  <si>
    <t>Confronting Antisemitism from Perspectives of Philosophy and Social Sciences</t>
  </si>
  <si>
    <t>Not at Your Service : Manifestos for Design</t>
  </si>
  <si>
    <t>Kirchenbild und Kircheneinheit : Der Dominikanische Tractatus Contra Graecos (1252) in Seinem Theologischen und Historischen Kontext</t>
  </si>
  <si>
    <t>Vernakuläre Wissenschaftskommunikation : Beiträge Zur Entstehung und Frühgeschichte der Modernen Deutschen Wissenschaftssprachen</t>
  </si>
  <si>
    <t>Kritische Edition der Sahidischen Version des Johannesevangeliums : Text und Dokumentation</t>
  </si>
  <si>
    <t>Diaspora and Disaster : Japanese Outside Japan and the Triple Catastrophy of March 2011</t>
  </si>
  <si>
    <t>Aus Büchern Bücher Machen : Zur Produktion und Multiplikation Von Wissen in Frühneuzeitlichen Kompilationen</t>
  </si>
  <si>
    <t>La Identidad Mexicana en Libros Escolares y Narrativas : Un Enfoque Crítico y Sociocognitivo</t>
  </si>
  <si>
    <t>Parlamentarismus in Europa : Deutschland, England und Frankreich Im Vergleich</t>
  </si>
  <si>
    <t>Emma Goldman and the Russian Revolution : From Admiration to Frustration</t>
  </si>
  <si>
    <t>Bildungspraktiken der Aufklärung / Education Practices of the Enlightenment</t>
  </si>
  <si>
    <t>Theoretische Mechanik Starrer Systeme</t>
  </si>
  <si>
    <t>Die Baader-Meinhof-Gruppe</t>
  </si>
  <si>
    <t>Essays on the Arts and Sciences</t>
  </si>
  <si>
    <t>Funktionsprüfungen in der Herz-Kreislaufdiagnostik</t>
  </si>
  <si>
    <t>Die Chronica Pontificum Leodiensium : Eine Verlorene Quellenschrift des XIII. Jahrhunderts. Nebst Einer Probe der Wiederherstellung</t>
  </si>
  <si>
    <t>Die Gewaltkriminalität in Den USA</t>
  </si>
  <si>
    <t>Die Kriminalpolitik Preußens Unter Friedrich Wilhelm I. und Friedrich II</t>
  </si>
  <si>
    <t>Paracelsus : Historisch-Kritische Ausgabe</t>
  </si>
  <si>
    <t>Reading Cicero's Final Years : Receptions of the Post-Caesarian Works up to the Sixteenth Century - with Two Epilogues</t>
  </si>
  <si>
    <t>Wütende Texte : Die Sprache Heißen Zorns in der Deutschen Literatur des 20. Jahrhunderts</t>
  </si>
  <si>
    <t>Herakleios, der Schwitzende Kaiser : Die Oströmische Monarchie in der Ausgehenden Spätantike</t>
  </si>
  <si>
    <t>Elemente der Funktionentheorie</t>
  </si>
  <si>
    <t>Borderlines: Essays on Mapping and the Logic of Place</t>
  </si>
  <si>
    <t>Meaning and Grammar of Nouns and Verbs</t>
  </si>
  <si>
    <t>Humanidades Digitales : Miradas Hacia la Edad Media</t>
  </si>
  <si>
    <t>Das 20. Jahrhundert : Sprachgeschichte - Zeitgeschichte</t>
  </si>
  <si>
    <t>Zwischen Nationalen und Transnationalen Erinnerungsnarrativen in Zentraleuropa</t>
  </si>
  <si>
    <t>Constructions in Use</t>
  </si>
  <si>
    <t>In Integrum Restitutio und Vindicatio Utilis Bei Eigentumsübertragungen Im Klassischen Römischen Recht</t>
  </si>
  <si>
    <t>The Maghrib in the Mashriq : Knowledge, Travel and Identity</t>
  </si>
  <si>
    <t>Powers of Protection : The Buddhist Tradition of Spells in the Dhāraṇīsaṃgraha Collections</t>
  </si>
  <si>
    <t>Bridging Formal and Conceptual Semantics : Selected Papers of BRIDGE-14</t>
  </si>
  <si>
    <t>Paul on the Human Vocation : Reason Language in Romans and Ancient Philosophical Tradition</t>
  </si>
  <si>
    <t>Das Materielle Erbe des Steinkohlenbergbaus in Deutschland : Eine Handreichung Zur Dokumentation und Digitalisierung in Kleinen Sammlungen</t>
  </si>
  <si>
    <t>Toscana Bilingue (1260 Ca. -1430 Ca. ) : Per una Storia Sociale Del Tradurre Medievale</t>
  </si>
  <si>
    <t>Diskurserwerb in Familie, Peergroup und Unterricht : Passungen und Teilhabechancen</t>
  </si>
  <si>
    <t>Talking Dialogue : Eleven Episodes in the History of the Modern Interreligious Dialogue Movement</t>
  </si>
  <si>
    <t>Das Bild der Schweiz Bei Den Papstgesandten (1586-1654) : Die Ständige Nuntiatur in Luzern. Mit Einer Dokumentation Von Instruktionen und Berichten Aus Dem Geheimarchiv des Vatikans</t>
  </si>
  <si>
    <t>Grubengasanalyse Im Kohlenbergbau</t>
  </si>
  <si>
    <t>Spanisch in Berlin : Einstellungen Zu Einer Globalen Sprache Als Lokale Fremdsprache</t>
  </si>
  <si>
    <t>Deutsch Von Außen</t>
  </si>
  <si>
    <t>Theatre and Metatheatre : Definitions, Problems, Limits</t>
  </si>
  <si>
    <t>Making Black History : Diasporic Fiction in the Moment of Afropolitanism</t>
  </si>
  <si>
    <t>Confronting Antisemitism in Modern Media, the Legal and Political Worlds</t>
  </si>
  <si>
    <t>Das Tragische und Die Tragödie : Grundsätzliche Äußerungen Deutscher Denker und Dichter</t>
  </si>
  <si>
    <t>Beyond Exceptionalism : Traces of Slavery and the Slave Trade in Early Modern Germany, 1650-1850</t>
  </si>
  <si>
    <t>Les Américains de Paris</t>
  </si>
  <si>
    <t>Von Den Historischen Avantgarden Bis Nach der Postmoderne : Potsdamer Vorlesungen Zu Den Hauptwerken der Romanischen Literaturen des 20. und 21. Jahrhunderts</t>
  </si>
  <si>
    <t>Definiteness in a Language Without Articles - a Study on Polish</t>
  </si>
  <si>
    <t>Neues und Fremdes Im Deutschen Wortschatz : Aktueller Lexikalischer Wandel</t>
  </si>
  <si>
    <t>Evaluation of Childrens' Play : Tools and Methods</t>
  </si>
  <si>
    <t>Pacific Climate Cultures : Living Climate Change in Oceania</t>
  </si>
  <si>
    <t>Using Ostraca in the Ancient World : New Discoveries and Methodologies</t>
  </si>
  <si>
    <t>Documentation and Argument in Early China : The Shàngshū 尚書 (Venerated Documents) and the Shū Traditions</t>
  </si>
  <si>
    <t>Der Tosephtatraktat Berakot : Text, Übersetzung und Erklärung</t>
  </si>
  <si>
    <t>Meaning, Frames, and Conceptual Representation</t>
  </si>
  <si>
    <t>Von der Makroökonomie Zum Kleinbauern : Die Wandlung der Idee Eines Gerechten Nord-Süd-Handels in der Schweizerischen Dritte-Welt-Bewegung (1964-1984)</t>
  </si>
  <si>
    <t>Sechs Jahre Aus Carl Burgfeld's Leben : Freundschaft, Liebe und Orden</t>
  </si>
  <si>
    <t>1793-04-01</t>
  </si>
  <si>
    <t>Orthopädie</t>
  </si>
  <si>
    <t>Amalthea Oder Museum der Kunstmythologie und Bildlichen Alterthumskunde</t>
  </si>
  <si>
    <t>1822-04-01</t>
  </si>
  <si>
    <t>Dialogues Between Media</t>
  </si>
  <si>
    <t>Friedrich Rosen : Orientalist Scholarship and International Politics</t>
  </si>
  <si>
    <t>Evaluating Interreligious Peacebuilding and Dialogue : Methods and Frameworks</t>
  </si>
  <si>
    <t>Die Untersuchung und Konstruktion Schwieriger Raumgebilde</t>
  </si>
  <si>
    <t>Isaac Orobio : The Jewish Argument with Dogma and Doubt</t>
  </si>
  <si>
    <t>Prosa: Theorie, Exegese, Geschichte</t>
  </si>
  <si>
    <t>Land, Dorf, Kehilla : ,,Landjudentum in der Deutschen und Deutsch-Jüdischen Erzählliteratur Bis 1918</t>
  </si>
  <si>
    <t>Gallipoli 1915/16 : Britanniens Bitterste Niederlage</t>
  </si>
  <si>
    <t>Im Banne des Schachproblems : Ausgewählte Schachaufgaben und Studien</t>
  </si>
  <si>
    <t>Berliner Weltliteraturen : Internationale Literarische Beziehungen in Ost und West Nach Dem Mauerbau</t>
  </si>
  <si>
    <t>Valency over Time : Diachronic Perspectives on Valency Patterns and Valency Orientation</t>
  </si>
  <si>
    <t>Decor-Räume in Pompejanischen Stadthäusern : Ausstattungsstrategien und Rezeptionsformen</t>
  </si>
  <si>
    <t>Die Restitution des Ullstein-Verlags (1945-52) : Remigration, Ränke, Rückgabe: der Steinige Weg Einer Berliner Traditionsfirma</t>
  </si>
  <si>
    <t>Meyer-Struckmann-Preis 2013: Sir Ian Kershaw : Deutsche Geschichte Im 20. Jahrhundert</t>
  </si>
  <si>
    <t>Experimentalphysik : Mechanik</t>
  </si>
  <si>
    <t>Education Innovation and Mental Health in Industrial Era 4. 0</t>
  </si>
  <si>
    <t>Gefängnis Als Schwellenraum in der Byzantinischen Hagiographie : Eine Untersuchung Früh- und Mittelbyzantinischer Märtyrerakten</t>
  </si>
  <si>
    <t>Das 19. Jahrhundert : Sprachgeschichtliche Wurzeln des Heutigen Deutsch</t>
  </si>
  <si>
    <t>Das Zeitalter der Novelle in Hellas</t>
  </si>
  <si>
    <t>1870-04-01</t>
  </si>
  <si>
    <t>Sujetos Del Deseo : Una Exploración Sobre la Traducción Amateur en Los años Del Panamericanismo</t>
  </si>
  <si>
    <t>Die Deutsche Reformation Zwischen Spätmittelalter und Früher Neuzeit</t>
  </si>
  <si>
    <t>Existentialismus In Österreich : Kultureller Transfer und Literarische Resonanz</t>
  </si>
  <si>
    <t>English Formal Satire : Elizabethan to Augustan</t>
  </si>
  <si>
    <t>Was Vom Himmel Kommt : Stoffanalytische Zugänge Zu Antiken Mythen Aus Mesopotamien, Ägypten, Griechenland und Rom</t>
  </si>
  <si>
    <t>Psychobiologie der Volksseuche Neurose</t>
  </si>
  <si>
    <t>Marriage Discourses : Historical and Literary Perspectives on Gender Inequality and Patriarchic Exploitation</t>
  </si>
  <si>
    <t>Grundzüge der Prosasyntax : Stilprägende Entwicklungen Vom Althochdeutschen Zum Neuhochdeutschen</t>
  </si>
  <si>
    <t>Sprache - Sprachwissenschaft - Öffentlichkeit</t>
  </si>
  <si>
    <t>Jahrbuch der Heinrich-Heine-Universität Düsseldorf 2007/2008</t>
  </si>
  <si>
    <t>Bildzensur : Löschung Technischer Bilder</t>
  </si>
  <si>
    <t>Kasus Im Korpus : Zu Struktur und Geographie Oberdeutscher Kasusmorphologie</t>
  </si>
  <si>
    <t>Die Fragmentierte Stadt : Exklusion und Teilhabe Im öffentlichen Raum</t>
  </si>
  <si>
    <t>Jovis Verlag GmbH</t>
  </si>
  <si>
    <t>New Libraries in Old Buildings : Creative Reuse</t>
  </si>
  <si>
    <t>Language Activism : Imaginaries and Strategies of Minority Language Equality</t>
  </si>
  <si>
    <t>Schleiermacher's Briefe an Brinckmann : Briefwechsel Mit Seinen Freunden Von Seiner Uebersiedlung Nach Halle Bis Zu Seinem Tode. Denkschriften. Dialog über das Anständige. Recensionen</t>
  </si>
  <si>
    <t>1863-04-01</t>
  </si>
  <si>
    <t>Approaches in Tourism Modelling : Collected Papers</t>
  </si>
  <si>
    <t>Die Kaufkraft des Geldes : Ihre Bestimmung und Ihre Beziehung Zu Kredit, Zins und Krisen</t>
  </si>
  <si>
    <t>Landscape Impact Assessment in Planning Processes</t>
  </si>
  <si>
    <t>Wieland und das Drama</t>
  </si>
  <si>
    <t>Traumaticismus und Infection : Nach Einer Rede, Gehalten in der Ersten Allgemeinen Sitzung des XIII. Internationalen Medicinischen Congresses Zu Paris Am 2. August 1900</t>
  </si>
  <si>
    <t>Diversity Dimensions in Mathematics and Language Learning : Perspectives on Culture, Education and Multilingualism</t>
  </si>
  <si>
    <t>A Lecture on Russian History</t>
  </si>
  <si>
    <t>Creative Selection Between Emending and Forming Medieval Memory</t>
  </si>
  <si>
    <t>Der Zweite Weltkrieg in Postsozialistischen Gedenkmuseen : Geschichtspolitik Zwischen der ,Anrufung Europas' und Dem Fokus Auf ,unser' Leid</t>
  </si>
  <si>
    <t>Einleitung in Die Philosophie : Eine Übung des Geistes</t>
  </si>
  <si>
    <t>Degree Gradation of Verbs</t>
  </si>
  <si>
    <t>Kriminologie : Standpunkte und Probleme</t>
  </si>
  <si>
    <t>Kaiserhaus, Staatsmänner und Politiker : Aufzeichnungen des K. K. Statthalters Erich Graf Kielmansegg</t>
  </si>
  <si>
    <t>Dictionnaire Historique de L'adjectif-Adverbe</t>
  </si>
  <si>
    <t>Untersuchungen über Ulrich Fürtrers Dichtung Von Dem Gral und der Tafelrunde, 1 : Zur Metrik und Grammatik, Stil und Darstellungsweise</t>
  </si>
  <si>
    <t>1882-04-01</t>
  </si>
  <si>
    <t>Bilddenken und Morphologie : Interdisziplinäre Studien über Form und Bilder Im Philosophischen und Wissenschaftlichen Denken</t>
  </si>
  <si>
    <t>Laienfrömmigkeit Im Späten Mittelalter : Formen, Funktionen, Politisch-Soziale Zusammenhänge</t>
  </si>
  <si>
    <t>Paragesellschaften : Imaginationen - Inszenierungen - Interaktionen in Den Gegenwartskulturen</t>
  </si>
  <si>
    <t>Über Den Begriff der Ironie : Mit Ständiger Rücksicht Auf Sokrates</t>
  </si>
  <si>
    <t>Kunstgeschichte und Kunsttheorie Im 19. Jahrhundert</t>
  </si>
  <si>
    <t>Occult Roots of Religious Studies : On the Influence of Non-Hegemonic Currents on Academia Around 1900</t>
  </si>
  <si>
    <t>Laienpotential, Patientenaktivierung und Gesundheitsselbsthilfe</t>
  </si>
  <si>
    <t>The Poetry of Meng Haoran</t>
  </si>
  <si>
    <t>The Politics of Service : US-Amerikanische Quäker und Internationale Humanitäre Hilfe 1917-1945</t>
  </si>
  <si>
    <t>Cultures and Traditions of Wordplay and Wordplay Research</t>
  </si>
  <si>
    <t>Anachronismus und Aktualisierung in Ovids Metamorphosen : Eine Ästhetik Uneigentlicher Zeitlichkeit</t>
  </si>
  <si>
    <t>Leibniz</t>
  </si>
  <si>
    <t>Novalis, der Romantiker</t>
  </si>
  <si>
    <t>Political Economy of Environment. Problems of Method : Papers Presented at the Symposium Held at the Maisons des Sciences de l'Homme, Paris, 5-8 July 1971</t>
  </si>
  <si>
    <t>Beiträge Zur Geschichte Ägyptens Unter Dem Islam</t>
  </si>
  <si>
    <t>Sprachen, Völker und Phantome : Sprach- und Kulturwissenschaftliche Studien Zur Ethnizität</t>
  </si>
  <si>
    <t>Tracing and Documenting Nazi Victims Past and Present</t>
  </si>
  <si>
    <t>Crossing Experiences in Digital Epigraphy : From Practice to Discipline</t>
  </si>
  <si>
    <t>Kürschners Graphiker-Handbuch : Deutschland, Österreich, Schweiz. Graphiker, Illustratoren, Karikaturisten, Gebrauchsgraphiker, Typographen, Buchgestalter</t>
  </si>
  <si>
    <t>Der Kampf Um Chinas Kollektives Gedächtnis : Offizielle und Inoffizielle Narrative Zur Kampagne Gegen Rechtsabweichler (1957-58)</t>
  </si>
  <si>
    <t>Successes and Failures in EU Cohesion Policy: an Introduction to EU Cohesion Policy in Eastern, Central, and Southern Europe</t>
  </si>
  <si>
    <t>Subjektive und Objektive Zeit : Aristoteles und Die Moderne Zeit-Theorie</t>
  </si>
  <si>
    <t>Aufklärung Zwischen Zwei Welten : Potsdamer Vorlesungen Zu Den Hauptwerken der Romanischen Literaturen des 18. Jahrhunderts</t>
  </si>
  <si>
    <t>Der Sinn der Humanistischen Bildung</t>
  </si>
  <si>
    <t>Regional Development. Experiences and Prospects in Eastern Europe</t>
  </si>
  <si>
    <t>Rotes Licht : Jugoslawische Partisanenfotografie. Bilder Einer Sozialen Bewegung, 1941-1945</t>
  </si>
  <si>
    <t>Elemente der Antiken Erzähltheorie</t>
  </si>
  <si>
    <t>Metaphysik des Mittelalters</t>
  </si>
  <si>
    <t>Cultural Sovereignty Beyond the Modern State : Space, Objects, and Media</t>
  </si>
  <si>
    <t>Karl Gutzkow und der Demokratische Gedanke</t>
  </si>
  <si>
    <t>Häusliche Andachten</t>
  </si>
  <si>
    <t>1814-04-01</t>
  </si>
  <si>
    <t>Vorlesungen über Die Naturlehre Für Leser, Denen Es an Mathematischen Vorkenntnissen Fehlt</t>
  </si>
  <si>
    <t>1844-04-01</t>
  </si>
  <si>
    <t>The Role of Value in Karl Mannheims Sociology of Knowledge</t>
  </si>
  <si>
    <t>Sachtypologie der Landfahrzeuge : Ein Beitrag Zu Ihrer Entstehung, Entwicklung und Verbreitung</t>
  </si>
  <si>
    <t>Perspectives énergétiques Dans l'industrie des Ciments</t>
  </si>
  <si>
    <t>Bücherkunde Zur Deutschen Geschichte</t>
  </si>
  <si>
    <t>A Bridgehead to Africa : German Interest in the Ottoman Province of Tripoli (Libya) 1884-1918</t>
  </si>
  <si>
    <t>Gesellschaft und Bildende Kunst : Eine Studie Zur Wiederherstellung des Problems</t>
  </si>
  <si>
    <t>Was Macht Die Digitalisierung Mit Den Hochschulen? : Einwürfe und Provokationen</t>
  </si>
  <si>
    <t>Die Macht des Seelischen : Eine Organische Psychologie Als Lebensorientierung des Einzelnen und der Gesamtheit</t>
  </si>
  <si>
    <t>Mittheilungen über Die in Oberschlesien Herrschende Typhus-Epidemie</t>
  </si>
  <si>
    <t>1848-04-01</t>
  </si>
  <si>
    <t>Das Rohrnetz Städtischer Wasserwerke : Berechnung, Bau, Betrieb</t>
  </si>
  <si>
    <t>Revolution und Gegenrevolution 1789-1830 : Zur Geistigen Auseinandersetzung in Frankreich und Deutschland</t>
  </si>
  <si>
    <t>Deutsche Gegenwartssprache : Tendenzen und Perspektiven</t>
  </si>
  <si>
    <t>Grundriss der Physik : Für Ingenieurschulen und Technische Schulen Sowie Zum Selbststudium</t>
  </si>
  <si>
    <t>Die Strahlungsverhältnisse Im Beheizten Wohnraum : Mit Berechnung der Einstrahlzahlen in der Heiz-, Beleuchtungs- und Feuerungstechnik (Winkelverhältnisse Im Parallelepipedon)</t>
  </si>
  <si>
    <t>Sozialismus und Volkswirtschaft in der Kriegsverfassung</t>
  </si>
  <si>
    <t>Chronicles and the Priestly Literature of the Hebrew Bible</t>
  </si>
  <si>
    <t>De Pseudo-Luciani Amoribus</t>
  </si>
  <si>
    <t>Abū Manṣūr al-Thaʿālibī : Kitāb Khāṣṣ al-Khāṣṣ</t>
  </si>
  <si>
    <t>Latin As the Language of Science and Learning</t>
  </si>
  <si>
    <t>Discourses on Nations and Identities</t>
  </si>
  <si>
    <t>Die Deutsche Staatskrise 1930 - 1933 : Handlungsspielräume und Alternativen</t>
  </si>
  <si>
    <t>Czesław Miłosz in Postwar America</t>
  </si>
  <si>
    <t>Öffentliche Vernunft? : Die Wissenschaft in der Demokratie</t>
  </si>
  <si>
    <t>Predigt Zur Jubelfeier der Reformazion und Union Gehalten in der Nikolai Kirche Zu Berlin Den 31. Oktober 1867</t>
  </si>
  <si>
    <t>1867-04-01</t>
  </si>
  <si>
    <t>Forschungsfeld Sprachevolution : Methodik, Theorie und Empirie der Modernen Sprachursprungsforschung</t>
  </si>
  <si>
    <t>Une Doxographie Sunnite du IVe/Xe Siècle : Kitāb Al-Maqālāt d'Abū Al-ʿAbbās Al-Qalānisī</t>
  </si>
  <si>
    <t>Pays Candidats Au Processus de Développement : Capacité d'absorption, Assistance Extérieure et Modèles de Croissance économique</t>
  </si>
  <si>
    <t>Kernwaffen und Auswärtige Politik : Schriften des Forschungsinstituts der Deutschen Gesellschaft E. V. Für Auswärtige Politik. Reihe Der Übersetzungen</t>
  </si>
  <si>
    <t>The Lumumba Generation : African Bourgeoisie and Colonial Distinction in the Belgian Congo</t>
  </si>
  <si>
    <t>Die Bedeutung des Protestantismus Für Die Entstehung der Modernen Welt</t>
  </si>
  <si>
    <t>Jeux de Mots, Textes et Contextes</t>
  </si>
  <si>
    <t>Kognition und Reflexion: Zur Theorie Filmischen Denkens</t>
  </si>
  <si>
    <t>Libraries, Archives and Museums As Democratic Spaces in a Digital Age</t>
  </si>
  <si>
    <t>Cultural Perspectives on Aging : A Different Approach to Old Age and Aging</t>
  </si>
  <si>
    <t>Der Teufel und Seine Poietische Macht in Literarischen Texten Vom Mittelalter Zur Moderne</t>
  </si>
  <si>
    <t>Microwave Based Weed Control and Soil Treatment</t>
  </si>
  <si>
    <t>Loans in Colonial and Modern Nahuatl : A Contextual Dictionary</t>
  </si>
  <si>
    <t>Die Moderne Handschriftendeutung</t>
  </si>
  <si>
    <t>Divination on Stage : Prophetic Body Signs in Early Modern Theatre in Spain and Europe</t>
  </si>
  <si>
    <t>Urban-Regional Development in South America : A Process of Diffusion and Integration</t>
  </si>
  <si>
    <t>Machtstaat und Utopie : Vom Streit Um Die dämonie der Macht Seit Machiavelli und Morus</t>
  </si>
  <si>
    <t>Menandri Sicyonius</t>
  </si>
  <si>
    <t>Comprehending Antisemitism Through the Ages: a Historical Perspective</t>
  </si>
  <si>
    <t>Euripides-Rezeption in Kaiserzeit und Spätantike</t>
  </si>
  <si>
    <t>Modernization of Public Spaces in Lithuanian Cities : Evolution and Transition</t>
  </si>
  <si>
    <t>The Legacy of Early Franciscan Thought</t>
  </si>
  <si>
    <t>Was Wird Aus Dem Heidelberger Schloß Werden?</t>
  </si>
  <si>
    <t>Temperatur, Salzgehalt und Dichte an der Oberfläche des Atlantischen Ozeans, Lfg 3. Untersuchungen über Die Mittleren Hydrographischen Verhältnisse an der Meeresoberfläche des Nördlichen Nordatlantischen Ozeans</t>
  </si>
  <si>
    <t>Der Freiwillige Soziale Aufwand in der Industrie und Seine Betriebswirtschaftliche Behandlung</t>
  </si>
  <si>
    <t>Soziologie - Sociology in the German-Speaking World : Special Issue Soziologische Revue 2020</t>
  </si>
  <si>
    <t>Hunger! : Effects of Modern War Methods</t>
  </si>
  <si>
    <t>Fakes and Forgeries of Written Artefacts from Ancient Mesopotamia to Modern China</t>
  </si>
  <si>
    <t>Das Gelingen der Künstlichen Natürlichkeit : Mensch-Sein an Den Grenzen des Lebens Mit Disruptiven Biotechnologien</t>
  </si>
  <si>
    <t>The Study of an Italian Village</t>
  </si>
  <si>
    <t>Handbook of Polish, Czech, and Slovak Holocaust Fiction : Works and Contexts</t>
  </si>
  <si>
    <t>Échanges et Communications, II : Mélanges Offerts à Claude lévi-Strauss à l'occasion de Son 60ème Anniversaire</t>
  </si>
  <si>
    <t>Lehrbuch der Instrumentenkunde Für Die Operationspraxis</t>
  </si>
  <si>
    <t>The State of Law : Comparative Perspectives on the Rule of Law in Germany and Vietnam</t>
  </si>
  <si>
    <t>Visuelle Linguistik : Zur Genese, Funktion und Kategorisierung Von Diagrammen in der Sprachwissenschaft</t>
  </si>
  <si>
    <t>Claiming and Making Muslim Worlds : Religion and Society in the Context of the Global</t>
  </si>
  <si>
    <t>Koloniale Straßennamen : Benennungspraktiken Im Kontext Kolonialer Raumaneignung in der Deutschen Metropole Von 1884 Bis 1945</t>
  </si>
  <si>
    <t>Uncertain Values : An Axiomatic Approach to Axiological Uncertainty</t>
  </si>
  <si>
    <t>Prosa : Geschichte, Poetik, Theorie</t>
  </si>
  <si>
    <t>Trends in Statistical Codicology</t>
  </si>
  <si>
    <t>Lineare Algebra</t>
  </si>
  <si>
    <t>Grundwerte Römischer Staatsgesinnung in Den Geschichtswerken des Sallust</t>
  </si>
  <si>
    <t>Religious Otherness and National Identity in Scandinavia, C. 1790-1960 : The Construction of Jews, Mormons, and Jesuits As Anti-Citizens and Enemies of Society</t>
  </si>
  <si>
    <t>Dokufiktionalität in Literatur und Medien : Erzählen an Den Schnittstellen Von Fakt und Fiktion</t>
  </si>
  <si>
    <t>Rekrutierungen Für Die Waffen-SS in Südosteuropa : Ideen, Ideale und Realitäten Einer Vielvölkerarmee</t>
  </si>
  <si>
    <t>Gehört der Islam Zu Deutschland? : Fakten und Analysen Zu Einem Meinungsstreit</t>
  </si>
  <si>
    <t>Principles of Decoration in the Roman World</t>
  </si>
  <si>
    <t>Logarithmische Rechentafeln Für Chemiker, Pharmazeuten, Mediziner und Physiker</t>
  </si>
  <si>
    <t>Einführung in das Programmieren in BASIC</t>
  </si>
  <si>
    <t>Bringing Buddhism to Tibet : History and Narrative in the DBA' BZHED Manuscript</t>
  </si>
  <si>
    <t>Der Nachlass Paul de Lagarde : Orientalistische Netzwerke und Antisemitische Verflechtungen</t>
  </si>
  <si>
    <t>Mathematical Linguistics in the Soviet Union</t>
  </si>
  <si>
    <t>Sprache und Kognition : Ereigniskonzeptualisierung Im Deutschen und Tschechischen</t>
  </si>
  <si>
    <t>Der Kathedersocialismus und Die Sociale Frage : Festrede Gehalten Am 3. November 1899 Zur Stiftungsfeier des Socialwissenschaftlichen Studentenvereins Zu Berlin</t>
  </si>
  <si>
    <t>1899-04-01</t>
  </si>
  <si>
    <t>Clarice Lispector - Weltliteratur? : Übersetzungs- und Rezeptionsdynamiken Im 20. und 21. Jahrhundert</t>
  </si>
  <si>
    <t>Kalter Krieg Auf Dem Indischen Subkontinent : Die Deutsch-Deutsche Diplomatie Im Bangladeschkrieg 1971</t>
  </si>
  <si>
    <t>History of Philosophy and the Reflective Society</t>
  </si>
  <si>
    <t>Kaiser Maximilian I. : Zwischen Wirklichkeit und Traum</t>
  </si>
  <si>
    <t>Rechtsentwicklungen in Deutschland</t>
  </si>
  <si>
    <t>Gentrifizierung Als Rechtsproblem - Wohnungspolitik Ohne ökonomische und Rechtsstaatliche Leitplanken?</t>
  </si>
  <si>
    <t>Facing Poetry : Alexander Gottlieb Baumgarten's Theory of Literature</t>
  </si>
  <si>
    <t>Address in Portuguese and Spanish : Studies in Diachrony and Diachronic Reconstruction</t>
  </si>
  <si>
    <t>Qualität in der Inhaltserschließung</t>
  </si>
  <si>
    <t>IT Für Soziale Inklusion : Digitalisierung - Künstliche Intelligenz - Zukunft Für Alle</t>
  </si>
  <si>
    <t>Zukunft Lernwelt Hochschule : Perspektiven und Optionen Für eine Neuausrichtung</t>
  </si>
  <si>
    <t>Selbstreparaturen in der Schriftlichen Interaktion : Eine Kontrastive Analyse Deutscher und Russischer Kurznachrichtenkommunikation</t>
  </si>
  <si>
    <t>Zur Geschichte Friedrichs I. und Friedrich Wilhelms I. Von Preußen</t>
  </si>
  <si>
    <t>Between Daily Routine and Violent Protest : Interpreting the Technicity of Action</t>
  </si>
  <si>
    <t>Häresie und Vorzeitige Reformation Im Spätmittelalter</t>
  </si>
  <si>
    <t>Landscape's Revenge : The Ecology of Failure in Robert Walser and Bernardo Carvalho</t>
  </si>
  <si>
    <t>The Formation of the Talmud : Scholarship and Politics in Yitzhak Isaac Halevy's Dorot Harishonim</t>
  </si>
  <si>
    <t>Das Spätantike Rom und Die Stadtrömische Senatsaristokratie (395-455 N. Chr. ) : Eine Althistorisch-Archäologische Untersuchung</t>
  </si>
  <si>
    <t>Heinrich Von Sybel: Die Begründung des Deutschen Reiches Durch Wilhelm I. . Band 1</t>
  </si>
  <si>
    <t>The Rhetoric of Topics and Forms</t>
  </si>
  <si>
    <t>Die Transformation der Informationsmärkte in Richtung Nutzungsfreiheit : Alternativen Zur Als-Ob-Regulierung Im Wissenschaftsurheberrecht</t>
  </si>
  <si>
    <t>Die Zypressen der Villa D'Este : Schicksale Im Spiegel der Landschaft</t>
  </si>
  <si>
    <t>Das Problem des Künstlerischen</t>
  </si>
  <si>
    <t>Hispanos en el Mundo : Emociones y Desplazamientos Históricos, Viajes y Migraciones</t>
  </si>
  <si>
    <t>Philosophie Als Denken der Welt Gemäß Dem Prinzip des Kleinsten Kraftmaßes : Prolegomena Zu Einer Kritik der Reinen Erfahrung</t>
  </si>
  <si>
    <t>Expressions of Sceptical Topoi in (Late) Antique Judaism</t>
  </si>
  <si>
    <t>The Bänkelsang and the Work of Bertolt Brecht</t>
  </si>
  <si>
    <t>Bibliographie Zum Strafrecht Im Nationalsozialismus : Literatur Zum Straf-, Strafverfahrens- und Strafvollzugsrecht Mit Ihren Grundlagen und Einem Anhang: Verzeichnis der Veröffentlichten Entscheidungen der Sondergerichte</t>
  </si>
  <si>
    <t>Exploring Written Artefacts : Objects, Methods, and Concepts</t>
  </si>
  <si>
    <t>Mechanische Triebwerke und Bremsen</t>
  </si>
  <si>
    <t>Geschichte der Krim : Iphigenie und Putin Auf Tauris</t>
  </si>
  <si>
    <t>Die Kriminalität in Den USA und Ihre Behandlung</t>
  </si>
  <si>
    <t>Narrative der Migration : Eine Andere Deutsche Kulturgeschichte</t>
  </si>
  <si>
    <t>Botanik</t>
  </si>
  <si>
    <t>1852-04-01</t>
  </si>
  <si>
    <t>Learned Physicians and Everyday Medical Practice in the Renaissance</t>
  </si>
  <si>
    <t>Gesunde Stadt : Die Assanierung der Stadt Wien (1934-1938)</t>
  </si>
  <si>
    <t>Sprachliche Muster : Eine Induktive Korpuslinguistische Analyse Wissenschaftlicher Texte</t>
  </si>
  <si>
    <t>Chemische Kosmographie : Vorlesung Gehalten an der Kgl. Technischen Hochschule Zu München Im Wintersemester 1902-1903</t>
  </si>
  <si>
    <t>Voces de Mujeres en la Edad Media : Entre Realidad y Ficción</t>
  </si>
  <si>
    <t>Early Thirteenth-Century English Franciscan Thought</t>
  </si>
  <si>
    <t>Early Urbanism in Europe : The Trypillia Megasites of the Ukrainian Forest-Steppe</t>
  </si>
  <si>
    <t>Kooperative Informationsinfrastrukturen Als Chance und Herausforderung : Festschrift Für Thomas Bürger Zum 65. Geburtstag</t>
  </si>
  <si>
    <t>Theorie der Kugelfunctionen und der Verwandten Functionen</t>
  </si>
  <si>
    <t>1878-04-01</t>
  </si>
  <si>
    <t>Bibliotheken der Schweiz: Innovation Durch Kooperation : Festschrift Für Susanna Bliggenstorfer Anlässlich Ihres Rücktrittes Als Direktorin der Zentralbibliothek Zürich</t>
  </si>
  <si>
    <t>Optik : Mit 1 Ausschlagtafel</t>
  </si>
  <si>
    <t>Politik Der ,Glückskulturen' : NS-Deutschland und Die Schweiz, 1933-1945</t>
  </si>
  <si>
    <t>Das Lager und Heer der Römer : Eine Abhandlung über Die Stärke der Legionen und Insbesondere des Cäsarischen Heeres, Den Tagemarsch und Die Entwickelung des Lagers Von Polybius Bis Hygin. Festschrift Zur Einweihung des Neubaus des Schlettstadter Gymnasiums Im Mai 1912</t>
  </si>
  <si>
    <t>Angstkonstruktionen : Kulturwissenschaftliche Annäherungen an eine Zeitdiagnose</t>
  </si>
  <si>
    <t>The Poetry and Prose of Wang Wei : Volume II</t>
  </si>
  <si>
    <t>Navigating Socialist Encounters : Moorings and (Dis)Entanglements Between Africa and East Germany During the Cold War</t>
  </si>
  <si>
    <t>Deutschland und Seine Feinde : Ein Bühnenfestspiel Für Unsere Zeit des Kampfes und Sieges</t>
  </si>
  <si>
    <t>Wortverbindungen - Mehr Oder Weniger Fest</t>
  </si>
  <si>
    <t>Semantische Spezialisierung vs. Polysemie : Interpretationsbesonderheiten Bei Komplementreduktionen Lexikalischer Einheiten</t>
  </si>
  <si>
    <t>Die ,,Confessio Augustana Im ökumenischen Gespräch</t>
  </si>
  <si>
    <t>Die Einheitsbestrebungen in der Wissenschaftlichen Medicin</t>
  </si>
  <si>
    <t>1849-07-01</t>
  </si>
  <si>
    <t>Die Anfänge des Humanismus in Ingolstadt : Eine Litterarische Studie Zur Deutschen Universitätsgeschichte</t>
  </si>
  <si>
    <t>Neue Richtungen in der Hoch- und Spätmittelalterlichen Bibelexegese</t>
  </si>
  <si>
    <t>Filmen, Forschen, Annotieren : Handbuch Research Video</t>
  </si>
  <si>
    <t>Erzählte Ordnungen - Ordnungen des Erzählens : Studien Zu Texten Vom Mittelalter Bis Zur Frühen Neuzeit</t>
  </si>
  <si>
    <t>Die Macht des Definierens : Eine Diskurslinguistische Typologie Am Beispiel des Burnout-Phänomens</t>
  </si>
  <si>
    <t>De Saltationibus Graecorum Capita Quinque</t>
  </si>
  <si>
    <t>Cultures of Eschatology : Volume 1: Empires and Scriptural Authorities in Medieval Christian, Islamic and Buddhist Communities. Volume 2: Time, Death and Afterlife in Medieval Christian, Islamic and Buddhist Communities</t>
  </si>
  <si>
    <t>Kürschners Biographisches Theater-Handbuch : Schauspiel, Oper, Film, Rundfunk. Deutschland, Österreich, Schweiz</t>
  </si>
  <si>
    <t>Verb-Second As a Reconstruction Phenomenon : Evidence from Grammar and Processing</t>
  </si>
  <si>
    <t>Disiecta Membra Musicae : Studies in Musical Fragmentology</t>
  </si>
  <si>
    <t>Die Lehnwörter Im Wortschatz der Spätbyzantinischen Historiographischen Literatur</t>
  </si>
  <si>
    <t>Dinámicas Lingüísticas de Las Situaciones de Contacto</t>
  </si>
  <si>
    <t>Ständische Gesellschaft und Soziale Mobilität</t>
  </si>
  <si>
    <t>Ernst Papanek and Jewish Refugee Children : Genocide and Displacement</t>
  </si>
  <si>
    <t>Lesepraktiken Im Antiken Judentum : Rezeptionsakte, Materialität und Schriftgebrauch</t>
  </si>
  <si>
    <t>Die Inschriften des Stadtgottesackers in Halle an der Saale (1550-1700) : Quellen Zum Bürgertum Einer Stadt in der Frühen Neuzeit</t>
  </si>
  <si>
    <t>Die Ordnung der Wörter : Kognitive und Lexikalische Strukturen</t>
  </si>
  <si>
    <t>Société et Liberté Chez les Peul Djelgôbé de Haute-Volta : Essai d'anthropologie Introspective</t>
  </si>
  <si>
    <t>Jean Paul Im Spiegel Seiner Heimat : Festgabe Zum 100. Todestag des Dichters</t>
  </si>
  <si>
    <t>Varietäten des Deutschen : Regional- und Umgangssprachen</t>
  </si>
  <si>
    <t>Englische Verfassungsgeschichte Bis Zum Regierungsantritt der Königin Victoria</t>
  </si>
  <si>
    <t>Prototypen - Schemata - Konstruktionen : Untersuchungen Zur Deutschen Morphologie und Syntax</t>
  </si>
  <si>
    <t>Dunhuang Manuscript Culture : End of the First Millennium</t>
  </si>
  <si>
    <t>Eine Angebliche und eine Wirkliche Chronik Von Orvieto</t>
  </si>
  <si>
    <t>Zeichentragende Artefakte Im Sakralen Raum : Zwischen Präsenz und Unsichtbarkeit</t>
  </si>
  <si>
    <t>Grundriss der Encyklopädie der Theologie</t>
  </si>
  <si>
    <t>Willkür Oder Mathematische Überlegung Beim Bau der Cheopspyramide?</t>
  </si>
  <si>
    <t>Österreichs Skisport Im Nationalsozialismus : Anpassung - Verfolgung - Kollaboration</t>
  </si>
  <si>
    <t>Explorations of the Syntax-Semantics Interface</t>
  </si>
  <si>
    <t>Der Heeresdienst Von Christen in der Römischen Kaiserzeit : Studien Zu Tertullian, Clemens und Origenes</t>
  </si>
  <si>
    <t>Literary Translation, Reception, and Transfer</t>
  </si>
  <si>
    <t>Säkulare Aspekte der Reformationszeit</t>
  </si>
  <si>
    <t>Deutsch Als Verkehrssprache in Europa</t>
  </si>
  <si>
    <t>Filming, Researching, Annotating : Research Video Handbook</t>
  </si>
  <si>
    <t>Sequence Comparison in Historical Linguistics</t>
  </si>
  <si>
    <t>Developing Heritage - Developing Countries : Ethiopian Nation-Building and the Origins of UNESCO World Heritage, 1960-1980</t>
  </si>
  <si>
    <t>Rationale Entscheidungen Unter Unsicherheit</t>
  </si>
  <si>
    <t>G. Ch. Lichtenberg in Seiner Stellung Zur Deutschen Literatur</t>
  </si>
  <si>
    <t>Les Normes de Prononciation du Français : Une étude Perceptive Panfrancophone</t>
  </si>
  <si>
    <t>Wie Sah Goethe Aus?</t>
  </si>
  <si>
    <t>Über Wissenschaft Reden : Studien Zu Sprachgebrauch, Darstellung und Adressierung in der Deutschsprachigen Wissenschaftsprosa Um 1800</t>
  </si>
  <si>
    <t>Recht der öffentlichen Sachen</t>
  </si>
  <si>
    <t>System- and Data-Driven Methods and Algorithms</t>
  </si>
  <si>
    <t>Platons Parmenides, Als Dialektisches Kunstwerk Dargestellt</t>
  </si>
  <si>
    <t>1821-04-01</t>
  </si>
  <si>
    <t>Poetas Hispanoamericanas Contemporáneas : Poéticas y Metapoéticas (siglos XX-XXI)</t>
  </si>
  <si>
    <t>Scientific Writing and Publishing in Medicine and Health Sciences : A Quick Guide in English and German</t>
  </si>
  <si>
    <t>Trading Zones of Digital History</t>
  </si>
  <si>
    <t>Die Marokkofrage und Die Konferenz Von Algeciras</t>
  </si>
  <si>
    <t>Die Poesie der Dinge : Ziele und Strategien der Wissensvermittlung Im Lateinischen Lehrgedicht der Frühen Neuzeit</t>
  </si>
  <si>
    <t>Grundriss der Ultraviolett- und Infrarot-Behandlung</t>
  </si>
  <si>
    <t>History and Drama : The Pan-European Tradition</t>
  </si>
  <si>
    <t>Stilfragen</t>
  </si>
  <si>
    <t>Die Vorgänge der Inneren Politik Seit der Thronbesteigung Kaiser Wilhelms II</t>
  </si>
  <si>
    <t>1888-04-01</t>
  </si>
  <si>
    <t>Funktionsverbgefüge des Deutschen : Untersuchungen Zu Einer Kategorie Zwischen Lexikon und Grammatik</t>
  </si>
  <si>
    <t>Grundkurs Strafrecht : Die Einzelnen Delikte</t>
  </si>
  <si>
    <t>Natural Communication : The Obstacle-Embracing Art of Abstract Gnomonics</t>
  </si>
  <si>
    <t>Geschichte der Islamischen Völker und Staaten</t>
  </si>
  <si>
    <t>Medizinische Informationsverarbeitung : Planung und Organisation</t>
  </si>
  <si>
    <t>Bild und Schrift Auf 'magischen' Artefakten</t>
  </si>
  <si>
    <t>Dostoevskij and Schiller</t>
  </si>
  <si>
    <t>Die Mitschuldigen : Ein Lustspiel</t>
  </si>
  <si>
    <t>1787-04-01</t>
  </si>
  <si>
    <t>Die Reformation und das Elsaß : Festschrift Zur 400 Jährigen Jubelfeier der Reformation</t>
  </si>
  <si>
    <t>Sprache und Neue Medien</t>
  </si>
  <si>
    <t>Francesco Da Barberino Al Crocevia : Culture, Società, Bilinguismo</t>
  </si>
  <si>
    <t>Geschichte der Deutschen in England : Von Den Ersten Germanischen Ansiedlungen in Britannien Bis Zum Ende des 18. Jahrhunderts</t>
  </si>
  <si>
    <t>1885-04-01</t>
  </si>
  <si>
    <t>The Good Christian Ruler in the First Millennium : Views from the Wider Mediterranean World in Conversation</t>
  </si>
  <si>
    <t>Praxishandbuch Forschungsdatenmanagement</t>
  </si>
  <si>
    <t>Das Publikum Politischer Theorie Im 14. Jahrhundert</t>
  </si>
  <si>
    <t>Reform des Deutschen Namensrechts</t>
  </si>
  <si>
    <t>Assessment of General Practitioners' Performance in Daily Practice : The EURACT Performance Agenda of General Practice/Family Medicine</t>
  </si>
  <si>
    <t>Am Rande der Fotografie : Eine Medialitätsgeschichte des Fotogramms Im 19. Jahrhundert</t>
  </si>
  <si>
    <t>Deutsche Juden und Die Moderne</t>
  </si>
  <si>
    <t>Vanitas und Gesellschaft</t>
  </si>
  <si>
    <t>Touch in the Time of Corona : Reflections on Love, Care, and Vulnerability in the Pandemic</t>
  </si>
  <si>
    <t>Vergemeinschaftung und Distinktion : Eine Gesprächsanalytische Studie über Positionierungspraktiken in Diskussionen über TV-Serien</t>
  </si>
  <si>
    <t>Wohnungsgesetz und Bürgschaftssicherungsgesetz</t>
  </si>
  <si>
    <t>Japan-Pop-Revolution : Neue Trends der Japanischen Gesellschaft Reflektiert in der Popkultur</t>
  </si>
  <si>
    <t>Instruments and Related Concepts at the Syntax-Semantics Interface</t>
  </si>
  <si>
    <t>Die Geschichtlichkeit des Briefs : Kontinuität und Wandel Einer Kommunikationsform</t>
  </si>
  <si>
    <t>Architecture and Naturing Affairs</t>
  </si>
  <si>
    <t>Archive in/aus Literatur : Wechselspiele Zweier Medien</t>
  </si>
  <si>
    <t>The Politics of Dementia : Forgetting and Remembering the Violent Past in Literature, Film and Graphic Narratives</t>
  </si>
  <si>
    <t>Gewalt in Laktanz' de Mortibus Persecutorum</t>
  </si>
  <si>
    <t>Magnetic Hybrid-Materials : Multi-Scale Modelling, Synthesis, and Applications</t>
  </si>
  <si>
    <t>Leibniz Als Historiker</t>
  </si>
  <si>
    <t>Ergonomics for People with Disabilities : Design for Accessibility</t>
  </si>
  <si>
    <t>Morphosyntactic Variation in Medieval Celtic Languages : Corpus-Based Approaches</t>
  </si>
  <si>
    <t>How Is World Literature Made? : The Global Circulations of Latin American Literatures</t>
  </si>
  <si>
    <t>Zur Griechischen Mythologie : Ein Bruchstück. Ueber Die Behandlung der Griechischen Mythologie</t>
  </si>
  <si>
    <t>Polizei und Geiseln. der Münchener Bankraub</t>
  </si>
  <si>
    <t>Der Hofmeister und Die Gouvernante : Ein Lustspiel in 5 Aufzügen</t>
  </si>
  <si>
    <t>The Present and Past Periphrastic Tenses in Anglo-Saxon</t>
  </si>
  <si>
    <t>Guidelines for Supporting Children with Disabilities' Play : Methodologies, Tools, and Contexts</t>
  </si>
  <si>
    <t>Schillers Einfluss Auf Theodor Körner : Ein Beitrag Zur Litteraturgeschichte</t>
  </si>
  <si>
    <t>Proceedings of the International Conference Sensory Motor Concepts in Language and Cognition</t>
  </si>
  <si>
    <t>Sprache und Recht</t>
  </si>
  <si>
    <t>Wettbewerbsfähigkeit Von Start-Ups : Erfolgreiche düsseldorfer Unternehmen</t>
  </si>
  <si>
    <t>Elektronische Tischrechenautomaten : Aufbau und Wirkungsweise</t>
  </si>
  <si>
    <t>Die Begründung des Realen : Hegels ,,Logik Im Kontext der Realitätsdebatte Um 1800</t>
  </si>
  <si>
    <t>Inszenierte Geschichte | Staging History : Medialität und Politik Europäischer Hochschuljubiläen Von 1850 Bis Heute | Anniversaries in European Institutions of Higher Learning from 1850 to the Present</t>
  </si>
  <si>
    <t>In Diensten des Afrikanischen Sozialismus : Tansania und Die Globale Entwicklungsarbeit der Beiden Deutschen Staaten, 1961-1990</t>
  </si>
  <si>
    <t>Neues Aus Wissenschaft und Lehre : Jahrbuch der Heinrich-Heine-Universität Düsseldorf 2008/2009</t>
  </si>
  <si>
    <t>Das Disziplinargesetz der Evangelischen Kirche in Deutschland Vom 11. März 1955 : Sowie Die Verordnung der Evangelischen Kirche der Union über das Disziplinarrecht Vom 14. Mai 1956 Nebst Den Überleitungsgesetzen der Gliedkirchen</t>
  </si>
  <si>
    <t>Einstein vs. Bergson : An Enduring Quarrel on Time</t>
  </si>
  <si>
    <t>Men, Masculinities and the Modern Career : Contemporary and Historical Perspectives</t>
  </si>
  <si>
    <t>Immanuel Kant : Eine Gedächtnisrede Gehalten Am 100jährigen Todestage Kants, D. 12. Febr. 1904, Vor Versammelter Universität in der Collegienkirche Zu Jena</t>
  </si>
  <si>
    <t>Das Preußische Disziplinargesetz Für Die Nichtrichterlichen Beamten Nebst Dem Disziplinargesetze Für Die Privatdozenten</t>
  </si>
  <si>
    <t>La Literatura Latinoamericana en Versión Francesa : Trabajos Del Equipo MEDET LAT</t>
  </si>
  <si>
    <t>Genre in the Climate Debate</t>
  </si>
  <si>
    <t>Zur Analysis des Endlichen und des Unendlichen : Vorlesungen Aus Kurzsemestern</t>
  </si>
  <si>
    <t>Reformen Im Rheinbündischen Deutschland</t>
  </si>
  <si>
    <t>Nationalism in a Transnational Age : Irrational Fears and the Strategic Abuse of Nationalist Pride</t>
  </si>
  <si>
    <t>Kriminaltherapie Heute : Forschungsberichte Zur Behandlung Von Delinquenten und Drogengeschädigten</t>
  </si>
  <si>
    <t>Goethe und Die Geschichte</t>
  </si>
  <si>
    <t>Von der Renaissance Bis Zur Aufklärung</t>
  </si>
  <si>
    <t>Die Stadt Als Beschriebener Raum : Die Beispiele Pompeji und Herculaneum</t>
  </si>
  <si>
    <t>Wachstum und Entwicklung : Theorie der Entwicklungspolitik</t>
  </si>
  <si>
    <t>Das Deutsche Als Europäische Sprache : Ein Porträt</t>
  </si>
  <si>
    <t>They Did Not Stop at Eboli : UNESCO and the Campaign Against Illiteracy in a Reportage by David Chim Seymour and Carlo Levi (1950)</t>
  </si>
  <si>
    <t>Deutsch - Typologisch</t>
  </si>
  <si>
    <t>Agonal Perspectives on Nietzsche's Philosophy of Critical Transvaluation</t>
  </si>
  <si>
    <t>Democratic State and Democratic Society : Institutional Change in the Nordic Model</t>
  </si>
  <si>
    <t>Lernwelt Hochschule : Dimensionen Eines Bildungsbereichs Im Umbruch</t>
  </si>
  <si>
    <t>Jüdische Expatriates in China und Hong Kong Nach 1976 : Religiöse Dynamik Im Zeichen der Expat-Migration</t>
  </si>
  <si>
    <t>Hamburgisches Hafen- und Schiffahrtsrecht</t>
  </si>
  <si>
    <t>The Politics of Housing in (Post-)Colonial Africa : Accommodating Workers and Urban Residents</t>
  </si>
  <si>
    <t>Deutsche Syntax : Ansichten und Aussichten</t>
  </si>
  <si>
    <t>The Meaning of Media : Texts and Materiality in Medieval Scandinavia</t>
  </si>
  <si>
    <t>Mechanik der Punkte und Punktsysteme</t>
  </si>
  <si>
    <t>1890-04-01</t>
  </si>
  <si>
    <t>Precious Irony : The Theatre of Jean Giraudoux</t>
  </si>
  <si>
    <t>Meeresalgen Fuer Die Menschliche Ernährung</t>
  </si>
  <si>
    <t>The Fish Lands : German Trade with Iceland, Shetland and the Faroe Islands in the Late 15th and 16th Century</t>
  </si>
  <si>
    <t>Was Ist Gesundheit? : Interdisziplinäre Perspektiven Aus Medizin, Geschichte und Kultur</t>
  </si>
  <si>
    <t>Lateinische Dichtungen Zur Deutschen Geschichte des Mittelalters</t>
  </si>
  <si>
    <t>Challenging the City Scale : Journeys in People-Centred Design</t>
  </si>
  <si>
    <t>Commentar Zu Den Reliefs des Zweiten Dakischen Krieges</t>
  </si>
  <si>
    <t>Theorie der Kosten</t>
  </si>
  <si>
    <t>Führungskräfte Im Betrieb : Planung, Einsatz, Entwicklung</t>
  </si>
  <si>
    <t>Der Papst : Nöthige Aufklärungen Aus der Geschichte</t>
  </si>
  <si>
    <t>1839-04-01</t>
  </si>
  <si>
    <t>Climate Lyricism</t>
  </si>
  <si>
    <t>Travel Writings on Asia : Curiosity, Identities, and Knowledge Across the East, C. 1200 to the Present</t>
  </si>
  <si>
    <t>Mapping Selfies and Memes As Touch</t>
  </si>
  <si>
    <t>Beyond Data : Human Rights, Ethical and Social Impact Assessment in AI</t>
  </si>
  <si>
    <t>Christliches Leben und Die Verbesserung des Menschen : Enhancement und Heiligung Bei Calvin</t>
  </si>
  <si>
    <t>1722-1730</t>
  </si>
  <si>
    <t>Les Portraits de Marie-Thérèse : Représentation et Lien Politique Dans la Monarchie des Habsbourg (1740-1780)</t>
  </si>
  <si>
    <t>Rethinking Orality I : Codification, Transcodification and Transmission of 'Cultural Messages'</t>
  </si>
  <si>
    <t>A Grammar of yélî Dnye : The Papuan Language of Rossel Island</t>
  </si>
  <si>
    <t>Synchronic and Diachronic Aspects of Kanashi</t>
  </si>
  <si>
    <t>Konstruktionen Zwischen Lexikon und Grammatik : Phrasem-Konstruktionen Monolingual, Bilingual und Multilingual</t>
  </si>
  <si>
    <t>Mikrogeschichten der Erinnerungskultur : Am Grünen Strand der Spree und Die Remedialisierung des Holocaust by Bullets</t>
  </si>
  <si>
    <t>Gelenkte Sprachkraft : Planmäßige Pflege des Schriftlichen Ausdrucks in der Volksschule 2. Bis 6. Schuljahr</t>
  </si>
  <si>
    <t>Portraying Cicero in Literature, Culture, and Politics : From Ancient to Modern Times</t>
  </si>
  <si>
    <t>Marcado Diferencial de Objeto y Semántica Verbal en Español</t>
  </si>
  <si>
    <t>Internationale Wissenschaftskommunikation und Nationalsozialismus : Akademischer Austausch, Konferenzen und Reisen in Geistes- und Kulturwissenschaften 1933 Bis 1945</t>
  </si>
  <si>
    <t>Historische Lexikographie des Deutschen : Perspektiven Eines Forschungsfeldes Im Digitalen Zeitalter</t>
  </si>
  <si>
    <t>Digital Finance in Europe: Law, Regulation, and Governance</t>
  </si>
  <si>
    <t>Digital History and Hermeneutics : Between Theory and Practice</t>
  </si>
  <si>
    <t>Aber Die Zeit Fürchtet Die Pyramiden : Die Wissenschaften Vom Alten Orient und Die Zeitliche Dimension Von Kulturgeschichte</t>
  </si>
  <si>
    <t>The Exercise of the Spatial Imagination in Pre-Modern China : Shaping the Expanse</t>
  </si>
  <si>
    <t>Digital Humanities and Libraries and Archives in Religious Studies : An Introduction</t>
  </si>
  <si>
    <t>Literatur Nach der Digitalisierung : Zeitkonzepte und Gegenwartsdiagnosen</t>
  </si>
  <si>
    <t>Der Deutsche Bauernkrieg</t>
  </si>
  <si>
    <t>Contesting Nordicness : From Scandinavianism to the Nordic Brand</t>
  </si>
  <si>
    <t>Nonlinear Evolution Equations</t>
  </si>
  <si>
    <t>Fragile Familien : Ehe und Häusliche Lebenswelt in der Bürgerlichen Moderne</t>
  </si>
  <si>
    <t>Atem / Breath : Gestalterische, ökologische und Soziale Dimensionen / Morphological, Ecological and Social Dimensions</t>
  </si>
  <si>
    <t>Moses Dobruska and the Invention of Social Philosophy : Utopia, Judaism, and Heresy under the French Revolution</t>
  </si>
  <si>
    <t>Globale Herausforderungen Gemeinsam Meistern - Gestern, Heute, Morgen : Präsidenten Von ICOM Deutschland Im Zeitzeugen-Interview</t>
  </si>
  <si>
    <t>El Queísmo en la Historia : Variación y Cambio Lingüístico en el Régimen Preposicional Del Español (siglos XVI-XXI)</t>
  </si>
  <si>
    <t>,,Fiktion und ,,Wirklichkeit in Japanischen Literaturtheorien der Jahre 1850 Bis 1890</t>
  </si>
  <si>
    <t>Integrated Chemical Processes in Liquid Multiphase Systems : From Chemical Reaction to Process Design and Operation</t>
  </si>
  <si>
    <t>The Medieval Archive of Antisemitism in Nineteenth-Century Sweden</t>
  </si>
  <si>
    <t>Rhapsodic Objects : Art, Agency, and Materiality (1700-2000)</t>
  </si>
  <si>
    <t>,Rabenschlacht'</t>
  </si>
  <si>
    <t>Kleinepik. Wolfram Von Eschenbach: ,Titurel'. ,Brief des Priesterkönigs Johannes'</t>
  </si>
  <si>
    <t>Changing Roles of NGOs in the Creation, Storage, and Dissemination of Information in Developing Countries</t>
  </si>
  <si>
    <t>Kant and Artificial Intelligence</t>
  </si>
  <si>
    <t>Precarity in European Film : Depictions and Discourses</t>
  </si>
  <si>
    <t>Materiality in Roman Art and Architecture : Aesthetics, Semantics and Function</t>
  </si>
  <si>
    <t>Grundlinien Zum Systeme der Aesthetik (1824) und Andere Kunstphilosophische Schriften</t>
  </si>
  <si>
    <t>Öffentliche Geheimnisse : Skandale, Politik und Medien in Deutschland und Großbritannien 1880-1914</t>
  </si>
  <si>
    <t>Zitate der Aeneis in Den Briefen des Hieronymus : Eine Digitale Intertextualitätsanalyse Zur Untersuchung Kultureller Transformationsprozesse</t>
  </si>
  <si>
    <t>Estereotipos Femeninos Desde la Antigüedad Clásica Hasta el Siglo XVI</t>
  </si>
  <si>
    <t>Der Weg der Welt</t>
  </si>
  <si>
    <t>Der ein- und Mehrphasige Wechselstrom : Einführung in das Studium der Transformatoren und Wechselstrommaschinen</t>
  </si>
  <si>
    <t>Social Media and Social Order</t>
  </si>
  <si>
    <t>Conflicts in Interreligious Education : Exploring Theory and Practice</t>
  </si>
  <si>
    <t>Whiteface : Improv Comedy and Anti-Blackness</t>
  </si>
  <si>
    <t>Genus - Sexus - Gender</t>
  </si>
  <si>
    <t>In Search of the Culprit : Aspects of Medieval Authorship</t>
  </si>
  <si>
    <t>Emotions Across Cultures : Ancient China and Greece</t>
  </si>
  <si>
    <t>The Walking Dead at Saqqara : Strategies of Social and Religious Interaction in Practice</t>
  </si>
  <si>
    <t>Raumkonstruktionen | Spatial Constructions : Digital Humanities und Die 'Messbarkeit' des NS-Regimes | the Digital Humanities and the 'Measurability' of the Nazi Regime</t>
  </si>
  <si>
    <t>Eine Andere Geschichte der Spanischen Literatur : Von Cervantes Bis Zur Gegenwart</t>
  </si>
  <si>
    <t>Partitive Determiners, Partitive Pronouns and Partitive Case</t>
  </si>
  <si>
    <t>Geburt Leben Sterben Tod : Potsdamer Vorlesungen über das Lebenswissen in Den Romanischen Literaturen der Welt</t>
  </si>
  <si>
    <t>,Nibelungenlied'</t>
  </si>
  <si>
    <t>,Nibelungenklage'</t>
  </si>
  <si>
    <t>Diversität in Bibliotheken : Theorien, Strategien und Praxisbeispiele</t>
  </si>
  <si>
    <t>Das Lukanische Doppelwerk : Zur Literarischen Basis Frühchristlicher Geschichtsdeutung</t>
  </si>
  <si>
    <t>Die Glasmalereien Vom Mittelalter Bis 1930 Im Kanton Thurgau : Corpus Vitrearum Schweiz, Reihe Neuzeit, Band 8</t>
  </si>
  <si>
    <t>Medieval Multilingual Manuscripts : Case Studies from Ireland to Japan</t>
  </si>
  <si>
    <t>Hartmann Von Aue: ,Erec'. ,der Mantel'</t>
  </si>
  <si>
    <t>Die DDR-Literatur und Die Wissenschaften</t>
  </si>
  <si>
    <t>Hartmann Von Aue: ,Iwein'</t>
  </si>
  <si>
    <t>Red Glow : Yugoslav Partisan Photography and Social Movement, 1941-1945</t>
  </si>
  <si>
    <t>Workplace Spirituality : Making a Difference</t>
  </si>
  <si>
    <t>Der Engel in der Moderne : Eine Figur Zwischen Exilgegenwart und Zukunftsvision</t>
  </si>
  <si>
    <t>The Politics of Historical Memory and Commemoration in Africa</t>
  </si>
  <si>
    <t>Linguistik und Medizin : Sprachwissenschaftliche Zugänge und Interdisziplinäre Perspektiven</t>
  </si>
  <si>
    <t>,Biterolf und Dietleib'</t>
  </si>
  <si>
    <t>Kardinal Cesare Baronio und das Kurienzeremoniell des Posttridentinischen Papsttums : Ein Beitrag Zur Geschichte der Römischen Kurie Während der Zweiten Hälfte des Cinquecento</t>
  </si>
  <si>
    <t>Die Internationale Stadt Tanger : Infrastrukturen des Geteilten Kolonialismus, 1840-1956</t>
  </si>
  <si>
    <t>A Basic Theory of Everything : A Fundamental Theoretical Framework for Science and Philosophy</t>
  </si>
  <si>
    <t>Play among Books : A Symposium on Architecture and Information Spelt in Atom-Letters</t>
  </si>
  <si>
    <t>Gleichzeitigkeit in der Interaktion : Strukturelle (in)Kompatibilität Bei Multiaktivitäten in Theaterproben</t>
  </si>
  <si>
    <t>Youth and Memory in Europe : Defining the Past, Shaping the Future</t>
  </si>
  <si>
    <t>Continuing Professional Development - Preparing for New Roles in Libraries: a Voyage of Discovery : Sixth World Conference on Continuing Professional Development and Workplace Learning for the Library and Information Professions</t>
  </si>
  <si>
    <t>Bild und Text Auf Römischen Mosaiken : Intermediale Kommunikationsstrategien Im Kontext der Wohnkultur des 3. -5. Jahrhunderts</t>
  </si>
  <si>
    <t>Stocks for All: People's Capitalism in the Twenty-First Century</t>
  </si>
  <si>
    <t>Mechanische Grundlagen des Flugzeugbaues, Teil 2</t>
  </si>
  <si>
    <t>Iridescent Kuwait : Petro-Modernity and Urban Visual Culture since the Mid-Twentieth Century</t>
  </si>
  <si>
    <t>Konstruktionssemantik : Frames in Gebrauchsbasierter Konstruktionsgrammatik und Konstruktikographie</t>
  </si>
  <si>
    <t>Nach der Kulturgeschichte : Perspektiven Einer Neuen Ideen- und Sozialgeschichte der Deutschen Literatur</t>
  </si>
  <si>
    <t>Time for the Ancients : Measurement, Theory, Experience</t>
  </si>
  <si>
    <t>,Ortnit'. ,Wolfdietrich A'</t>
  </si>
  <si>
    <t>Conceptions of Time in Greek and Roman Antiquity</t>
  </si>
  <si>
    <t>Geschichte der Heimat : Zur Genese Ihrer Semantik in Literatur, Religion, Recht und Wissenschaft</t>
  </si>
  <si>
    <t>Kältebilder : Ästhetik und Erkenntnis Am Gefrierpunkt</t>
  </si>
  <si>
    <t>Karl Barth's Epistle to the Romans : Retrospect and Prospect</t>
  </si>
  <si>
    <t>Kontrafaktik der Gegenwart : Politisches Schreiben Als Realitätsvariation Bei Christian Kracht, Kathrin Röggla, Juli Zeh und Leif Randt</t>
  </si>
  <si>
    <t>,Dietrichs Flucht'</t>
  </si>
  <si>
    <t>Höfische Texte</t>
  </si>
  <si>
    <t>Handbook of Ancient Afro-Eurasian Economies : Volume 2: Local, Regional, and Imperial Economies</t>
  </si>
  <si>
    <t>La Tradizione Manoscritta Dell' Ars Dictaminis Nell'Italia Medievale : Mise en Page e Mise en Texte</t>
  </si>
  <si>
    <t>Rethinking Orality II : The Mechanisms of the Oral Communication System in the Case of the Archaic Epos</t>
  </si>
  <si>
    <t>Reading History in the Roman Empire</t>
  </si>
  <si>
    <t>Forensische Verfahren in Den Zeitgenössischen Künsten : Forensic Architecture und Andere Fallanalysen</t>
  </si>
  <si>
    <t>,Kudrun'</t>
  </si>
  <si>
    <t>Zionism and Cosmopolitanism : Franz Oppenheimer and the Dream of a Jewish Future in Germany and Palestine</t>
  </si>
  <si>
    <t>Mapping Narrations - Narrating Maps : Concepts of the World in the Middle Ages and the Early Modern Period</t>
  </si>
  <si>
    <t>Medieval Institute Publications</t>
  </si>
  <si>
    <t>The World's First Full Press Freedom : The Radical Experiment of Denmark-Norway 1770-1773</t>
  </si>
  <si>
    <t>Kinder und Jugendliche in der COVID-19-Pandemie : Perspektiven Aus Praxis und Wissenschaft</t>
  </si>
  <si>
    <t>Vom Germanenerbe Zum Urkommunismus : Urgeschichtsbilder in Museen der SBZ und DDR</t>
  </si>
  <si>
    <t>Rethinking Islam in Europe : Contemporary Approaches in Islamic Religious Education and Theology</t>
  </si>
  <si>
    <t>Diskurse - Digital : Theorien, Methoden, Anwendungen</t>
  </si>
  <si>
    <t>Envisioning the Future of Learning for Creativity, Innovation and Entrepreneurship</t>
  </si>
  <si>
    <t>Perfektunperfekt : Elaboration und Imperfektion in der Rhetorik des Designs</t>
  </si>
  <si>
    <t>Die Papyri Herkulaneums Im Digitalen Zeitalter : Neue Texte Durch Neue Techniken - eine Kurzeinführung</t>
  </si>
  <si>
    <t>Die Vergangenheitstempora Im Alemannischen Deutschlands : Eine Korpusbasierte Quantitative und Qualitative Untersuchung</t>
  </si>
  <si>
    <t>Anti-Klages : Oder Von der Würde des Menschen</t>
  </si>
  <si>
    <t>1731-1733</t>
  </si>
  <si>
    <t>Action-Related Representations : An Action-Based Approach to Grounded Cognition</t>
  </si>
  <si>
    <t>Football and Nation Building in Colombia (2010-2018) : The Only Thing That Unites Us</t>
  </si>
  <si>
    <t>Agile Processes in Software Engineering and Extreme Programming : 23rd International Conference on Agile Software Development, XP 2022, Copenhagen, Denmark, June 13-17, 2022, Proceedings</t>
  </si>
  <si>
    <t>Entrepreneurial Responses to Chronic Adversity : The Bright, the Dark, and the in Between</t>
  </si>
  <si>
    <t>International Actors and the Formation of Laws</t>
  </si>
  <si>
    <t>Encounters and Practices of Petty Trade in Northern Europe, 1820-1960 : Forgotten Livelihoods</t>
  </si>
  <si>
    <t>Russia-China Relations : Emerging Alliance or Eternal Rivals?</t>
  </si>
  <si>
    <t>Framing Global Mathematics : The International Mathematical Union Between Theorems and Politics</t>
  </si>
  <si>
    <t>Evading the Patronage Trap : Interest Representation in Mexico</t>
  </si>
  <si>
    <t>Digital Transformation in Norwegian Enterprises</t>
  </si>
  <si>
    <t>Public Systems Modeling : Methods for Identifying and Evaluating Alternative Plans and Policies</t>
  </si>
  <si>
    <t>Deep Neural Networks and Data for Automated Driving : Robustness, Uncertainty Quantification, and Insights Towards Safety</t>
  </si>
  <si>
    <t>Smittestopp  a Case Study on Digital Contact Tracing</t>
  </si>
  <si>
    <t>Grundrechte : Klausur- und Examenswissen</t>
  </si>
  <si>
    <t>Towards the Perfect Weather Warning : Bridging Disciplinary Gaps Through Partnership and Communication</t>
  </si>
  <si>
    <t>Responsible Procurement : Leading the Way to a Sustainable Tomorrow</t>
  </si>
  <si>
    <t>Improving Oncology Worldwide : Education, Clinical Research and Global Cancer Care</t>
  </si>
  <si>
    <t>Participative Urban Health and Healthy Aging in the Age of AI : 19th International Conference, ICOST 2022, Paris, France, June 27-30, 2022, Proceedings</t>
  </si>
  <si>
    <t>Social Networks and Health Inequalities : A New Perspective for Research</t>
  </si>
  <si>
    <t>Crime and Safety in the Rural : Lessons from Research</t>
  </si>
  <si>
    <t>The Road to General Intelligence</t>
  </si>
  <si>
    <t>Interdisciplinary Explorations of Postmortem Interaction : Dead Bodies, Funerary Objects, and Burial Spaces Through Texts and Time</t>
  </si>
  <si>
    <t>Longer-Term Psychiatric Inpatient Care for Adolescents : A Multidisciplinary Treatment Approach</t>
  </si>
  <si>
    <t>We Were All in Adam : The Unity of Mankind in Adam in the Teaching of the Church Fathers</t>
  </si>
  <si>
    <t>City, Climate, and Architecture : A Theory of Collective Practice</t>
  </si>
  <si>
    <t>Writing Systems and Their Use : An Overview of Grapholinguistics</t>
  </si>
  <si>
    <t>Time and Soul : From Aristotle to St. Augustine</t>
  </si>
  <si>
    <t>Possession and Dispossession : Performing Jewish Ethnography in Jerusalem</t>
  </si>
  <si>
    <t>Coping with Urban Climates : Comparative Perspectives on Architecture and Thermal Governance</t>
  </si>
  <si>
    <t>Co-Corporeality of Humans, Machines, and Microbes</t>
  </si>
  <si>
    <t>Process Mining Handbook</t>
  </si>
  <si>
    <t>Glocal Governance : How to Govern in the Anthropocene?</t>
  </si>
  <si>
    <t>New Social Mobility : Second Generation Pioneers in Europe</t>
  </si>
  <si>
    <t>The Responsibility of Science</t>
  </si>
  <si>
    <t>Governing the Sustainable Development Goals : Quantification in Global Public Policy</t>
  </si>
  <si>
    <t>Understanding L2 Proficiency : Theoretical and Meta-Analytic Investigations</t>
  </si>
  <si>
    <t>Bewusst im Paradies: Kitsch und Reflexivität</t>
  </si>
  <si>
    <t>Queer Turkey : Transnational Poetics of Desire</t>
  </si>
  <si>
    <t>Verknüpfte Modernitäten : Brasilianisch-deutsche Interferenzen in Bezug auf Kulturpolitik und Menschenbild in der Nachkriegszeit</t>
  </si>
  <si>
    <t>Helfen : Situative und organisationale Ausprägungen einer unterbestimmten Praxis</t>
  </si>
  <si>
    <t>»Transforming our World« - Zukunftsdiskurse zur Umsetzung der UN-Agenda 2030</t>
  </si>
  <si>
    <t>Archives, Access and Artificial Intelligence : Working with Born-Digital and Digitized Archival Collections</t>
  </si>
  <si>
    <t>Campus Medius: Digitales Kartografieren in den Kultur- und Medienwissenschaften</t>
  </si>
  <si>
    <t>Campus Medius: Digital Mapping in Cultural and Media Studies</t>
  </si>
  <si>
    <t>Convivial Futures : Views from a Post-Growth Tomorrow</t>
  </si>
  <si>
    <t>Lokal extrem Rechts : Analysen alltäglicher Vergesellschaftungen</t>
  </si>
  <si>
    <t>Mit Adorno im Tonstudio : Zur Soziologie der Musikproduktion</t>
  </si>
  <si>
    <t>Schauplätze des Reparierens und Selbermachens : Über neue urbane Infrastrukturen der Sorge und der Suffizienz in Wien</t>
  </si>
  <si>
    <t>Repräsentation - Partizipation - Zugänglichkeit : Theorie und Praxis gesellschaftlicher Einbindung in Museen und Ausstellungen</t>
  </si>
  <si>
    <t>Culture^2 : Theorizing Theory for the Twenty-First Century, Vol. 1</t>
  </si>
  <si>
    <t>Demenz im Quartier : Ehrenamt und Sozialraumorientierung für das Alter</t>
  </si>
  <si>
    <t>Gender Studies im Dialog : Transnationale und transdisziplinäre Perspektiven</t>
  </si>
  <si>
    <t>Heimat. Volkstum. Architektur : Sondierungen zum volkstumsorientierten Bauen der Heimatschutz-Bewegung im Kontext der Moderne und des Nationalsozialismus</t>
  </si>
  <si>
    <t>Zwischen Anstalt und Schule : Eine Wissensgeschichte der Erziehung »schwachsinniger« Kinder in Berlin, 1845-1914</t>
  </si>
  <si>
    <t>Geschichte der Sklaverei in der niederländischen Republik : Recht, Rassismus und die Handlungsmacht Schwarzer Menschen und People of Color, 1680-1863</t>
  </si>
  <si>
    <t>América Latina en la vorágine de la crisis : Extractivismos y alternativas</t>
  </si>
  <si>
    <t>Wider die Geschichtsvergessenheit : Inszenierte Geschichte - historische Differenz - kritisches Bewusstsein</t>
  </si>
  <si>
    <t>Lexicon of Global Melodrama</t>
  </si>
  <si>
    <t>Hochschulen in der Pandemie : Impulse für eine nachhaltige Entwicklung von Studium und Lehre</t>
  </si>
  <si>
    <t>Organisationaler Wandel durch Migration? : Zur Diversität in der Zivilgesellschaft</t>
  </si>
  <si>
    <t>»Failed« Migratory Adventures? : Malian Men Facing Conditions Post Deportation in Southern Mali</t>
  </si>
  <si>
    <t>Die Arbeit am Ausdruck : Zur ästhetischen Dimension von Bildung. Eine artikulationstheoretische Annäherung</t>
  </si>
  <si>
    <t>Fremdheitserfahrungen und Othering : Ordnungen des »Eigenen« und »Fremden« in interreligiöser Bildung</t>
  </si>
  <si>
    <t>Sozialkapital intersektional : Eine empirische Untersuchung an der Schnittstelle Behinderung und Migration</t>
  </si>
  <si>
    <t>Cybersicherheit in Innen- und Außenpolitik : Deutsche und britische Policies im Vergleich</t>
  </si>
  <si>
    <t>Minimalismus - Ein Reader</t>
  </si>
  <si>
    <t>»Doing market« - Unternehmerische Praxis und der Diskurs um »ethnische Ökonomie« im Markt für muslimische Mode in Berlin</t>
  </si>
  <si>
    <t>Adoleszenz und Alterität : Aktuelle Perspektiven der interkulturellen Literaturwissenschaft und Literaturdidaktik</t>
  </si>
  <si>
    <t>Academics in Exile : Networks, Knowledge Exchange and New Forms of Internationalization</t>
  </si>
  <si>
    <t>Migrationsforschung (inter)disziplinär : Eine anwendungsorientierte Einführung</t>
  </si>
  <si>
    <t>Scale Matters : The Quality of Quantity in Human Culture and Sociality</t>
  </si>
  <si>
    <t>Critical by Design? : Genealogies, Practices, Positions</t>
  </si>
  <si>
    <t>Das Karussell - Schwindel, Tausch und Täuschung : Szenen einer Medienphilosophie</t>
  </si>
  <si>
    <t>Beyond Narrative : Exploring Narrative Liminality and Its Cultural Work</t>
  </si>
  <si>
    <t>Diffraktionsereignisse der Gegenwart : Feministische Medienkunst trifft Neuen Materialismus</t>
  </si>
  <si>
    <t>Aus der Nacht in den Tag : Ein philosophisches Plädoyer für die plurale Gesellschaft</t>
  </si>
  <si>
    <t>Widerständige Ressource : Typologie und Gebrauch historischer Bauernhäuser</t>
  </si>
  <si>
    <t>Trauma im Computerspiel : Mediale Repräsentationen mentaler Extremerfahrungen</t>
  </si>
  <si>
    <t>Für ein Europa der Übergänge : Interkulturalität und Mehrsprachigkeit in europäischen Kontexten</t>
  </si>
  <si>
    <t>Afrika im deutschsprachigen Kommunikationsraum : Neue Perspektiven interkultureller Sprach- und Literaturforschung</t>
  </si>
  <si>
    <t>Musikvermittlung lernen : Analysen und Empfehlungen zur Aus- und Weiterbildung von Musiker_innen</t>
  </si>
  <si>
    <t>The Notion of »holy« in Ancient Armenian Texts from the Fifth Century CE : A Comparative Approach Using Digital Tools and Methods</t>
  </si>
  <si>
    <t>Patientenpolitiken : Zur Genealogie eines kollektiven Subjekts</t>
  </si>
  <si>
    <t>Die Entdeckung der Gestaltbarkeit : Gesellschaftstheorien bei Alexis de Tocqueville, Karl Marx und Max Weber</t>
  </si>
  <si>
    <t>Now! Die Welt gemeinsam gestalten. Bildung neu denken : Das Morgenmachen-Lesebuch</t>
  </si>
  <si>
    <t>Risikodemokratie : Chemnitz zwischen rechtsradikalem Brennpunkt und europäischer Kulturhauptstadt</t>
  </si>
  <si>
    <t>Public Space in Transition : Co-production and Co-management of Privately Owned Public Space in Seoul and Berlin</t>
  </si>
  <si>
    <t>Grenzjustierungen - Bildungsbiografien Zugewanderter zwischen Qualifikation und Re-Qualifizierung</t>
  </si>
  <si>
    <t>Die kurdische Frage in der Türkei : Über die gewaltsame Durchsetzung von Nationalstaatlichkeit</t>
  </si>
  <si>
    <t>Über-Menschen : Philosophische Auseinandersetzung mit der Anthropologie des Transhumanismus</t>
  </si>
  <si>
    <t>»Mehr Fortschritt wagen«? : Parteien, Personen, Milieus und Modernisierung: Regieren in Zeiten der Ampelkoalition</t>
  </si>
  <si>
    <t>Liberalismus neu denken : Freiheitliche Antworten auf die Herausforderungen unserer Zeit</t>
  </si>
  <si>
    <t>Die Ampelkoalition : Wie wird aus unterschiedlichen Zielen ein gemeinsames Regierungsprogramm?</t>
  </si>
  <si>
    <t>Widerstand als Selbstbehauptung : »Gefährdete« Jugendliche im Übergangs- und Berufsbildungssystem</t>
  </si>
  <si>
    <t>Politischer Rassismus in der post-homogenen Gesellschaft : Eine postkoloniale Kritik</t>
  </si>
  <si>
    <t>Friedensgutachten 2022 : Friedensfähig in Kriegszeiten</t>
  </si>
  <si>
    <t>Deutschland und seine Flüchtlinge : Das Wechselbad der Diskurse im langen Sommer der Flucht 2015</t>
  </si>
  <si>
    <t>Security in Computer and Information Sciences : Second International Symposium, EuroCybersec 2021, Nice, France, October 25-26, 2021, Revised Selected Papers</t>
  </si>
  <si>
    <t>A Study of Crisis</t>
  </si>
  <si>
    <t>Supercomputing Frontiers : 7th Asian Conference, SCFA 2022, Singapore, March 1-3, 2022, Proceedings</t>
  </si>
  <si>
    <t>Human-Nature Interactions : Exploring Nature's Values Across Landscapes</t>
  </si>
  <si>
    <t>Der Beitrag des Design Thinking Zur Marktorientierten Unternehmensführung : Ein Mindsetorientierter Analyseansatz</t>
  </si>
  <si>
    <t>Innovative Tools and Methods Using BIM for an Efficient Renovation in Buildings</t>
  </si>
  <si>
    <t>Systems Mapping : How to Build and Use Causal Models of Systems</t>
  </si>
  <si>
    <t>Applying Reflective Equilibrium : Towards the Justification of a Precautionary Principle</t>
  </si>
  <si>
    <t>Stem Cell Transplantations Between Siblings As Social Phenomena : The Child's Body and Family Decision-Making</t>
  </si>
  <si>
    <t>Agriculture for Economic Development in Africa : Evidence from Ethiopia</t>
  </si>
  <si>
    <t>Kommunikation Von Aufsichtsratsvorsitzenden : Grundlagen - Strukturen - Ziele - Management</t>
  </si>
  <si>
    <t>How Data Quality Affects Our Understanding of the Earnings Distribution</t>
  </si>
  <si>
    <t>Krisenmanagement Am Beispiel der Flüchtlingslage 2015/2016 : Akteure, Zusammenarbeit und der Umgang Mit Wissen</t>
  </si>
  <si>
    <t>Pflege-Report 2022 : Spezielle Versorgungslagen in der Langzeitpflege</t>
  </si>
  <si>
    <t>The Enactment of Strategic Leadership : A Critical Perspective</t>
  </si>
  <si>
    <t>Migration in West Africa : IMISCOE Regional Reader</t>
  </si>
  <si>
    <t>Abortion Care As Moral Work : Ethical Considerations of Maternal and Fetal Bodies</t>
  </si>
  <si>
    <t>The Logical Writings of Karl Popper</t>
  </si>
  <si>
    <t>Cultura Literaria y Políticas de Mercado : Editoriales, Ferias y Festivales</t>
  </si>
  <si>
    <t>Gefährliche Forschung? : Eine Debatte über Gleichheit und Differenz in der Wissenschaft</t>
  </si>
  <si>
    <t>Glaube, Wissenschaft, Sprache : Eine Diachronische Studie Zur Protestantisch-Theologischen Fachsprache Im 20. Jahrhundert</t>
  </si>
  <si>
    <t>Sprache(n) in Pädagogischen Settings</t>
  </si>
  <si>
    <t>Grundrechte : Klausur- und Examensfälle</t>
  </si>
  <si>
    <t>Acetylsalicylic Acid</t>
  </si>
  <si>
    <t>Thinking Narratively : Between Novel-Essay and Narrative Essay</t>
  </si>
  <si>
    <t>Poéticas Espectatoriales en Hispanoamérica y Brasil (1800-1847) : Ilustración - Emancipación - Convivencias Excluyentes</t>
  </si>
  <si>
    <t>Argumentationen über Den Klimawandel in Schweizer Medien : Entwicklung Einer Sektoralen Argumentationstheorie und -Typologie Für Den Diskurs über Klimawandel Zwischen 2007 Und 2014</t>
  </si>
  <si>
    <t>Narratologie und Vormoderne Japanische Literatur : Theoretische Grundlagen, Forschungskritik und Sprachlich Bedingte Charakteristika Japanischer Erzähltexte des 10. Bis 14. Jahrhunderts</t>
  </si>
  <si>
    <t>Handlungskoordination in der Lernwelt Hochschule : Rahmenbedingungen Kompetenzorientierter Lehre</t>
  </si>
  <si>
    <t>A Generalization of Bohr-Mollerup's Theorem for Higher Order Convex Functions</t>
  </si>
  <si>
    <t>Novel Developments for Sustainable Hydropower</t>
  </si>
  <si>
    <t>Bioethics and the Holocaust : A Comprehensive Study in How the Holocaust Continues to Shape the Ethics of Health, Medicine and Human Rights</t>
  </si>
  <si>
    <t>Transport Corridors in Africa</t>
  </si>
  <si>
    <t>The Institutional Compass: Method, Use and Scope</t>
  </si>
  <si>
    <t>European Parliament's Political Groups in Turbulent Times</t>
  </si>
  <si>
    <t>Emerging Technologies : Value Creation for Sustainable Development</t>
  </si>
  <si>
    <t>Migration Research in a Digitized World : Using Innovative Technology to Tackle Methodological Challenges</t>
  </si>
  <si>
    <t>How and Why to Regulate False Political Advertising in Australia</t>
  </si>
  <si>
    <t>Proceeding of 2021 International Conference on Wireless Communications, Networking and Applications</t>
  </si>
  <si>
    <t>Home Truths? : Video Production and Domestic Life</t>
  </si>
  <si>
    <t>The American Literature Scholar in the Digital Age</t>
  </si>
  <si>
    <t>Deployment and Operation of Complex Software in Heterogeneous Execution Environments : The SODALITE Approach</t>
  </si>
  <si>
    <t>Integrating Data Science and Earth Science : Challenges and Solutions</t>
  </si>
  <si>
    <t>Kantianism for Animals : A Radical Kantian Animal Ethic</t>
  </si>
  <si>
    <t>Energy Poverty, Practice, and Policy</t>
  </si>
  <si>
    <t>Piezoelectric Electromechanical Transducers for Underwater Sound, Part III and IV</t>
  </si>
  <si>
    <t>Empire and Politics in the Eastern and Western Civilizations : Searching for a 'Respublica Romanosinica'</t>
  </si>
  <si>
    <t>300 Jahre Robinson Crusoe : Ein Weltbestseller und Seine Rezeptionsgeschichte</t>
  </si>
  <si>
    <t>Kellers Erzählen : Strukturen - Funktionen - Reflexionen</t>
  </si>
  <si>
    <t>Nationalism and Populism : Expressions of Fear or Political Strategies?</t>
  </si>
  <si>
    <t>Reimagining Sustainable Organization : Perspectives on Arts, Design, Leadership, Knowledge and Project Management</t>
  </si>
  <si>
    <t>Beyond Global Food Supply Chains : Crisis, Disruption, Regeneration</t>
  </si>
  <si>
    <t>Notions of Temporalities in Artistic Practice</t>
  </si>
  <si>
    <t>A Short Media History of English Literature</t>
  </si>
  <si>
    <t>Überforderungseinwände in der Ethik</t>
  </si>
  <si>
    <t>Obstructions in Security-Aware Business Processes : Analysis, Detection, and Handling</t>
  </si>
  <si>
    <t>Global Perspectives on Educational Innovations for Emergency Situations</t>
  </si>
  <si>
    <t>Digital Interaction and Machine Intelligence : Proceedings of MIDI'2021 - 9th Machine Intelligence and Digital Interaction Conference, December 9-10, 2021, Warsaw, Poland</t>
  </si>
  <si>
    <t>Innopolis University - from Zero to Hero : Ten Years of Challenges and Victories</t>
  </si>
  <si>
    <t>Science Et émotion : Le Rôle de l'émotion Dans la Pratique de la Recherche</t>
  </si>
  <si>
    <t>Case Studies in Biocultural Diversity from Southeast Asia : Traditional Ecological Calendars, Folk Medicine and Folk Names</t>
  </si>
  <si>
    <t>Evidence Based Global Health Manual for Preterm Birth Risk Assessment</t>
  </si>
  <si>
    <t>Sustainable Food Systems for Food Security : Need for Combination of Local and Global Approaches</t>
  </si>
  <si>
    <t>La Fabrique de L'agronomie : De 1945 à Nos Jours</t>
  </si>
  <si>
    <t>Forêts et Changement Climatique : Comprendre et Modéliser le Fonctionnement Hydrique des Arbres</t>
  </si>
  <si>
    <t>Infrastructures de Données Spatiales : Évaluations économiques : Concepts, Méthodes et Retours D'expérience</t>
  </si>
  <si>
    <t>Développer des Projets d'agriculture Urbaine Avec la Méthode Meth-Expau®</t>
  </si>
  <si>
    <t>Performing Modernism : A Jewish Avant-Garde in Bucharest</t>
  </si>
  <si>
    <t>High-Quality Outdoor Learning : Evidence-Based Education Outside the Classroom for Children, Teachers and Society</t>
  </si>
  <si>
    <t>Duale Schriftnutzung: Brailleschrift und Schwarzschrift : Eine Sequenzielle, Explanative Mixed-Methods Studie</t>
  </si>
  <si>
    <t>Die Vielen Gestalten des Thomas Hobbes in der Deutung Von Carl Schmitt und Leo Strauss</t>
  </si>
  <si>
    <t>Wertorientierungen und Wahlverhalten : Effekte Gesellschaftlicher Wertorientierungen Bei Den Bundestagswahlen 2009 - 2017</t>
  </si>
  <si>
    <t>Automated Reasoning : 11th International Joint Conference, IJCAR 2022, Haifa, Israel, August 8-10, 2022, Proceedings</t>
  </si>
  <si>
    <t>Aktives Altern Im Digitalen Zeitalter : Informations-Kommunikations-Technologie Verstehen, Nutzen und Integrieren</t>
  </si>
  <si>
    <t>Simplicial and Dendroidal Homotopy Theory</t>
  </si>
  <si>
    <t>Computer Aided Verification : 34th International Conference, CAV 2022, Haifa, Israel, August 7-10, 2022, Proceedings, Part II</t>
  </si>
  <si>
    <t>Entwicklung Von Methoden Zur Abstrakten Modellierung Von Automotive Systems-On-Chips</t>
  </si>
  <si>
    <t>Computer Aided Verification : 34th International Conference, CAV 2022, Haifa, Israel, August 7-10, 2022, Proceedings, Part I</t>
  </si>
  <si>
    <t>Angewandte Linguistik Für Sprachberufe</t>
  </si>
  <si>
    <t>Commentary on Aristotle, Nicomachean Ethics : Critical Edition with Introduction and Translation</t>
  </si>
  <si>
    <t>Instrumenta Domestica Aus Pompeji und Ihr Design : Eine Untersuchung Zur Decorativen Gestaltung der Kleinfunde Aus Insula I 10</t>
  </si>
  <si>
    <t>Perspectives on the Self : Reflexivity in the Humanities</t>
  </si>
  <si>
    <t>Jewish Life and Culture in Germany After 1945 : Sacred Spaces, Objects and Musical Traditions</t>
  </si>
  <si>
    <t>Schönheitsdiskurse in der Literatur des Mittelalters : Die Propädeutik des Fleisches Zwischen ,aisthesis' Und Ästhetik</t>
  </si>
  <si>
    <t>The Expression of Collectivity in Romance Languages : An Empirical Analysis of Nominal Aspectuality with Focus on French</t>
  </si>
  <si>
    <t>Navigating Copyright for Libraries : Purpose and Scope</t>
  </si>
  <si>
    <t>Konzepte des Jüdischen: Ausstellen, Aufklären, Erinnern : Jüdische Museen und Vermittlungsprojekte Im Alemannischen Sprachraum</t>
  </si>
  <si>
    <t>When Tibetan Meditation Goes Global : A Study of the Adaptation of Bon Religious Practices in the West</t>
  </si>
  <si>
    <t>Lernwelt Hochschule 2030 : Konzepte und Strategien Für eine Zukünftige Entwicklung</t>
  </si>
  <si>
    <t>Foundations of a Sociology of Canon Law</t>
  </si>
  <si>
    <t>Model and Mathematics: from the 19th to the 21st Century</t>
  </si>
  <si>
    <t>Recognizing Green Skills Through Non-Formal Learning : A Comparative Study in Asia</t>
  </si>
  <si>
    <t>Achieving the Paris Climate Agreement Goals : Part 2: Science-Based Target Setting for the Finance Industry -- Net-Zero Sectoral 1. 5˚C Pathways for Real Economy Sectors</t>
  </si>
  <si>
    <t>The Politics of Bad Governance in Contemporary Russia</t>
  </si>
  <si>
    <t>Méliès Boots : Footwear and Film Manufacturing in Second Industrial Revolution Paris</t>
  </si>
  <si>
    <t>While Waiting for Rain : Community, Economy, and Law in a Time of Change</t>
  </si>
  <si>
    <t>Critical Points for the Organisation of Test Performance Studies in Microbiology : Plant Pathogens As a Case Study</t>
  </si>
  <si>
    <t>Contingent Encounters : Improvisation in Music and Everyday Life</t>
  </si>
  <si>
    <t>Teaching, Research and Academic Careers : An Analysis of the Interrelations and Impacts</t>
  </si>
  <si>
    <t>Die Trade-Offs der Nachhaltigkeit : Eine Forschungsreise Zur Dreiwertigen Logik und Zu Science Constellations</t>
  </si>
  <si>
    <t>Digital Health Care in Taiwan : Innovations of National Health Insurance</t>
  </si>
  <si>
    <t>Verwaltung Im Digitalen Zeitalter : Die Rolle Digitaler Kompetenzen in der Personalakquise des Höheren Dienstes</t>
  </si>
  <si>
    <t>Moving Across Differences : How Students Engage LGBTQ+ Themes in a High School Literature Class</t>
  </si>
  <si>
    <t>Baltic Hospitality from the Middle Ages to the Twentieth Century : Receiving Strangers in Northeastern Europe</t>
  </si>
  <si>
    <t>Migration in South America : IMISCOE Regional Reader</t>
  </si>
  <si>
    <t>Esperanto - Lingua Franca and Language Community</t>
  </si>
  <si>
    <t>Hot-Wall MOCVD of N-polar Group-III Nitride Materials and High Electron Mobility Transistor Structures</t>
  </si>
  <si>
    <t>Forest Bioeconomy and Climate Change</t>
  </si>
  <si>
    <t>Planning Cities in Africa : Current Issues and Future Prospects of Urban Governance and Planning</t>
  </si>
  <si>
    <t>Consumer Decision Neuroscience : Ausgewählte Beiträge</t>
  </si>
  <si>
    <t>Urinary Stents : Current State and Future Perspectives</t>
  </si>
  <si>
    <t>Creating Chaos Online : Disinformation and Subverted Post-Publics</t>
  </si>
  <si>
    <t>Manuscript and Print in the Islamic Tradition</t>
  </si>
  <si>
    <t>International Handbook of Practical Theology</t>
  </si>
  <si>
    <t>Gender in der Deutschsprachigen Kinder- und Jugendliteratur : Vom Mittelalter Bis Zur Gegenwart</t>
  </si>
  <si>
    <t>On the Way to The (un)Known ? : The Ottoman Empire in Travelogues (C. 1450-1900)</t>
  </si>
  <si>
    <t>Primitive Thinking : Figuring Alterity in German Modernity</t>
  </si>
  <si>
    <t>Unruly Narrative : Private Property, Self-Making, and Toni Morrison's a Mercy</t>
  </si>
  <si>
    <t>Photographing Central Asia : From the Periphery of the Russian Empire to Global Presence</t>
  </si>
  <si>
    <t>Staatsorganisationsrecht : Klausur- und Examenswissen</t>
  </si>
  <si>
    <t>Juden und Ihre Nachbarn : Die Wissenschaft des Judentums Im Kontext Von Diaspora und Migration</t>
  </si>
  <si>
    <t>Culture As Soft Power : Bridging Cultural Relations, Intellectual Cooperation, and Cultural Diplomacy</t>
  </si>
  <si>
    <t>Digital History : Konzepte, Methoden und Kritiken Digitaler Geschichtswissenschaft</t>
  </si>
  <si>
    <t>On Electrified Fluid Power Systems in Mobile Machinery</t>
  </si>
  <si>
    <t>Moraliska Illusioner</t>
  </si>
  <si>
    <t>On Machine Learning-Based Control for Energy Management in Construction Machines</t>
  </si>
  <si>
    <t>Does God Intend That Sin Occur?</t>
  </si>
  <si>
    <t>Der Staat Als ,Guter Auftraggeber'? Öffentliche Auftragsvergabe Zwischen Vermarktlichung und Sozialpolitisierung</t>
  </si>
  <si>
    <t>Psychology, Learning, Technology : First International Conference, PLT 2022, Foggia, Italy, January 19-21, 2022, Revised Selected Papers</t>
  </si>
  <si>
    <t>Youth Suicide Prevention and Intervention : Best Practices and Policy Implications</t>
  </si>
  <si>
    <t>Die Individuelle Mathematische Kreativität Von Schulkindern : Theoretische Grundlegung und Empirische Befunde Zur Kreativität Von Erstklässler*innen</t>
  </si>
  <si>
    <t>Migration and Domestic Work : IMISCOE Short Reader</t>
  </si>
  <si>
    <t>Analysis of Reaction-Diffusion Models with the Taxis Mechanism</t>
  </si>
  <si>
    <t>Kosten der Hubschraubergestützten Notfallversorgung : Innovationsbasierte Szenarioanalyse und Empfehlungen Zur Gestaltung Von Luftrettungssystemen</t>
  </si>
  <si>
    <t>Past, Present and Future of a Habitable Earth : The Development Strategy of Earth Science 2021 To 2030</t>
  </si>
  <si>
    <t>Moralische Dimensionen der Verletzlichkeit des Menschen : Interdisziplinäre Perspektiven Auf Einen Anthropologischen Grundbegriff und Seine Relevanz Für Die Medizinethik</t>
  </si>
  <si>
    <t>Contributions to Improving Feedback and Trust in Automated Testing and Continuous Integration and Delivery</t>
  </si>
  <si>
    <t>Prediktionsmetoder För Högdimensionella Data Med Censurerade Kovariater</t>
  </si>
  <si>
    <t>Rethinking Secular Time in Victorian England</t>
  </si>
  <si>
    <t>Droplet Dynamics under Extreme Ambient Conditions</t>
  </si>
  <si>
    <t>The Pilgrim's Guide to the Workplace</t>
  </si>
  <si>
    <t>Nontoxic: Masculinity, Allyship, and Feminist Philosophy</t>
  </si>
  <si>
    <t>Corporate Diplomacy: How Multinational Corporations Gain Organizational Legitimacy : A Neo-Institutional Public Relations Perspective</t>
  </si>
  <si>
    <t>Managing Great Power Politics : ASEAN, Institutional Strategy, and the South China Sea</t>
  </si>
  <si>
    <t>Axial Spondyloarthritis: Patient-Reported Impact in Europe</t>
  </si>
  <si>
    <t>Higher Degree by Research : Factors for Indigenous Student Success</t>
  </si>
  <si>
    <t>Old Ways for New Days : Indigenous Survival and Agency in Climate Changed Times</t>
  </si>
  <si>
    <t>Fertility Transition in the Developing World</t>
  </si>
  <si>
    <t>Times of Insight: Conscience, Corporations, and the Common Good</t>
  </si>
  <si>
    <t>Electronic Voting : 7th International Joint Conference, e-Vote-ID 2022, Bregenz, Austria, October 4-7, 2022, Proceedings</t>
  </si>
  <si>
    <t>Reflective Structural Colors and Their Actuation Using Electroactive Conducting Polymers</t>
  </si>
  <si>
    <t>Kinetic Monte Carlo Modelling of Organic Photovoltaic Devices</t>
  </si>
  <si>
    <t>Making Sense of Immigrant Work Integration : An Organizing Framework</t>
  </si>
  <si>
    <t>Constitutional Change in the European Union : Towards a Federal Europe</t>
  </si>
  <si>
    <t>An Introduction to the Mechanics of Incompressible Fluids</t>
  </si>
  <si>
    <t>Mathematical Surprises</t>
  </si>
  <si>
    <t>Data Spaces : Design, Deployment and Future Directions</t>
  </si>
  <si>
    <t>Introduction to Development Engineering : A Framework with Applications from the Field</t>
  </si>
  <si>
    <t>A Guide to Additive Manufacturing</t>
  </si>
  <si>
    <t>The Ethical Spirit of EU Values : Status Quo of the Union of Values and Future Direction of Travel</t>
  </si>
  <si>
    <t>Informal Livelihoods and Governance in South Africa : The Hustle</t>
  </si>
  <si>
    <t>Values for a Post-Pandemic Future</t>
  </si>
  <si>
    <t>Doing Transitions in the Life Course : Processes and Practices</t>
  </si>
  <si>
    <t>Towards a New Enlightenment - The Case for Future-Oriented Humanities</t>
  </si>
  <si>
    <t>Novel Foods and Edible Insects in the European Union : An Interdisciplinary Analysis</t>
  </si>
  <si>
    <t>Probiotics and Prebiotics in Extremely Preterm Infants</t>
  </si>
  <si>
    <t>Cattle Shipments and Disease Spread Modeling</t>
  </si>
  <si>
    <t>Untersuchungen zum deutschen Vertriebenen- und Flüchtlingsproblem. : Zweite Abteilung: Einzeldarstellungen. II: Albrecht, Gerhard unter Mitarbeit von H.-W. Behnke - R. Burchard: Die wirtschaftliche Eingliederung der Heimatvertriebenen in Hessen.</t>
  </si>
  <si>
    <t>Duncker &amp; Humblot</t>
  </si>
  <si>
    <t>Untersuchungen zum deutschen Vertriebenen- und Flüchtlingsproblem. : Erste Abteilung: Grundfragen. I: Arndt, Helmut: Die volkswirtschaftliche Eingliederung eines Bevölkerungszustromes. Wirtschaftstheoretische Einführung in das Vertriebenen- und Flüchtlingsproblem.</t>
  </si>
  <si>
    <t>Beiträge zur Produktions- und Wachstumstheorie.</t>
  </si>
  <si>
    <t>Beiträge zur Theorie der öffentlichen Ausgaben.</t>
  </si>
  <si>
    <t>Beiträge zur Theorie der Produktion und der Einkommensverteilung.</t>
  </si>
  <si>
    <t>Deutschland und die Weltwirtschaft. : Verhandlungen auf der Tagung des Vereins für Socialpolitik in Bad Nauheim 1954.</t>
  </si>
  <si>
    <t>Untersuchungen zum deutschen Vertriebenen- und Flüchtlingsproblem. : Zweite Abteilung: Einzeldarstellungen. V: Edding, Friedrich: Die wirtschaftliche Eingliederung der Vertriebenen und Flüchtlinge in Schleswig-Holstein.</t>
  </si>
  <si>
    <t>Untersuchungen einzelner Entwicklungsländer. : Peru, Tunesien, Ägypten und Syrien.</t>
  </si>
  <si>
    <t>Entwicklungsbedingungen und Entwicklungschancen der Republik Sudan.</t>
  </si>
  <si>
    <t>Untersuchungen zum deutschen Vertriebenen- und Flüchtlingsproblem. : Zweite Abteilung: Einzeldarstellungen. IV: Esenwein-Rothe, Ingeborg: Die Eingliederung der Flüchtlinge in die Stadtstaaten Bremen und Hamburg.</t>
  </si>
  <si>
    <t>Wirtschaftsverbände und Wirtschaftspolitik. : Esenwein-Rothe, Ingeborg: Die Wirtschaftsverbände von 1933 bis 1945.</t>
  </si>
  <si>
    <t>Kommunale Finanzen und Finanzausgleich.</t>
  </si>
  <si>
    <t>Beiträge zur Multiplikatortheorie.</t>
  </si>
  <si>
    <t>Zur Grundlegung wirtschaftspolitischer Konzeptionen.</t>
  </si>
  <si>
    <t>Optimales Wachstum und Optimale Standortverteilung.</t>
  </si>
  <si>
    <t>Kapitalbildung und Kapitalverwendung. : Verhandlungen auf der Tagung des Vereins für Socialpolitik in Salzburg 1952.</t>
  </si>
  <si>
    <t>Untersuchungen zum deutschen Vertriebenen- und Flüchtlingsproblem. : Zweite Abteilung: Einzeldarstellungen. III: Koerber, Hans Joachim von unter Mitwirkung von Karl C. Thalheim: Die Heimatvertriebenen und die Flüchtlinge aus der Sowjetzone in Westberlin.</t>
  </si>
  <si>
    <t>Untersuchungen zum deutschen Vertriebenen- und Flüchtlingsproblem. : Zweite Abteilung: Einzeldarstellungen. IX: Kollai, Helmut R.: Die Eingliederung der Vertriebenen und Zuwanderer in Niedersachsen.</t>
  </si>
  <si>
    <t>Lohnhöhe und Beschäftigung.</t>
  </si>
  <si>
    <t>Probleme der Finanzierung von Investitionen in Entwicklungsländern.</t>
  </si>
  <si>
    <t>Untersuchungen zum deutschen Vertriebenen- und Flüchtlingsproblem. : Zweite Abteilung: Einzeldarstellungen. X: Müller, Erwin: Die Heimatvertriebenen in Baden-Württemberg.</t>
  </si>
  <si>
    <t>Volkswirtschaftliche Probleme des deutschen Außenhandels. : Bericht über die erste Mitgliederversammlung des Vereins für Socialpolitik.</t>
  </si>
  <si>
    <t>Probleme des öffentlichen Budgets.</t>
  </si>
  <si>
    <t>Weltwirtschaftliche Probleme der Gegenwart. : Verhandlungen auf der Tagung des Vereins für Socialpolitik im Ostseebad Travemünde 1964.</t>
  </si>
  <si>
    <t>Probleme des räumlichen Gleichgewichts in der Wirtschaftswissenschaft. : Verhandlungen auf der Tagung des Vereins für Socialpolitik aus Anlaß der 175. Wiederkehr des Geburtstages von J. H. v. Thünen in Göttingen 1958.</t>
  </si>
  <si>
    <t>Probleme der Willensbildung und der wirtschaftspolitischen Führung.</t>
  </si>
  <si>
    <t>Probleme der Wirtschaftspolitik in Entwicklungsländern. : Beiträge zu Fragen der Entwicklungsplanung und regionalen Integration.</t>
  </si>
  <si>
    <t>Untersuchungen zum deutschen Vertriebenen- und Flüchtlingsproblem. : Erste Abteilung: Grundfragen. II: Schmölders, Günter unter Mitarbeit von H. Müller - H. Friederichs: Finanzierungsprobleme im Zusammenhang mit der wirtschaftlichen Eingliederung der Heimatvertriebenen.</t>
  </si>
  <si>
    <t>Untersuchungen zum deutschen Vertriebenen- und Flüchtlingsproblem. : Erste Abteilung: Grundfragen. III: Reichling, Gerhard: Die Heimatvertriebenen im Spiegel der Statistik.</t>
  </si>
  <si>
    <t>Wirtschaftsverbände und Wirtschaftspolitik. : Schmölders, Günter (wissenschaftl. Ltg.): Das Selbstbild der Verbände. Empirische Erhebung über die Verhaltensweisen der Verbände in ihrer Bedeutung für die wirtschaftspolitische Willensbildung in der Bundesrepublik Deutschland.</t>
  </si>
  <si>
    <t>Untersuchungen zum deutschen Vertriebenen- und Flüchtlingsproblem. : Zweite Abteilung: Einzeldarstellungen. I: Seraphim, Peter-Heinz: Die Heimatvertriebenen in der Sowjetzone.</t>
  </si>
  <si>
    <t>Die Stellung von Landwirtschaft und Industrie im Wachstumsprozeß der Entwicklungsländer.</t>
  </si>
  <si>
    <t>Strukturwandlungen einer wachsenden Wirtschaft. : Verhandlungen auf der Tagung des Vereins für Socialpolitik in Luzern 1962. Bd. I.</t>
  </si>
  <si>
    <t>Zur Theorie und Praxis der Mitbestimmung. : Bd. 2.</t>
  </si>
  <si>
    <t>Strukturwandlungen einer wachsenden Wirtschaft. : Verhandlungen auf der Tagung des Vereins für Socialpolitik in Luzern 1962. Bd. II.</t>
  </si>
  <si>
    <t>Untersuchungen zur sozialen Gestaltung der Wirtschaftsordnung.</t>
  </si>
  <si>
    <t>Wirtschaftsverbände und Wirtschaftspolitik. : Pütz, Theodor (wissenschaftl. Ltg.): Verbände und Wirtschaftspolitik in Österreich.</t>
  </si>
  <si>
    <t>Untersuchungen zum deutschen Vertriebenen- und Flüchtlingsproblem. : Zweite Abteilung: Einzeldarstellungen. VII: Wagner, Helmut: Die Heimatvertriebenen und Sowjetzonenflüchtlinge in Rheinland-Pfalz.</t>
  </si>
  <si>
    <t>Das Verhältnis der Wirtschaftswissenschaft zur Rechtswissenschaft, Soziologie und Statistik. : Verhandlungen auf der Arbeitstagung des Vereins für Socialpolitik in Würzburg, Oktober 1963.</t>
  </si>
  <si>
    <t>Wandlungen der Wirtschaftsstruktur in der Bundesrepublik Deutschland.</t>
  </si>
  <si>
    <t>Rationale Wirtschaftspolitik und Planung in der Wirtschaft von heute. : Verhandlungen auf der Tagung des Vereins für Socialpolitik in Hannover 1966.</t>
  </si>
  <si>
    <t>Die Wirtschaftssysteme der Staaten Osteuropas und der Volksrepublik China. : Untersuchungen der Entstehung, Entfaltung und Wandlung sozialistischer Wirtschaftssysteme. Bd. I.</t>
  </si>
  <si>
    <t>Die Wirtschaftssysteme der Staaten Osteuropas und der Volksrepublik China. : Untersuchungen der Entstehung, Entfaltung und Wandlung sozialistischer Wirtschaftssysteme. Bd. II.</t>
  </si>
  <si>
    <t>Einzelhandel und Handwerk 1965 und 1975. : Absatz und Fläche.</t>
  </si>
  <si>
    <t>Beiträge zur Regionalpolitik.</t>
  </si>
  <si>
    <t>Beiträge zur Theorie der Außenwirtschaft.</t>
  </si>
  <si>
    <t>Beiträge zur Wachstumspolitik.</t>
  </si>
  <si>
    <t>Grundlagen der Wettbewerbspolitik.</t>
  </si>
  <si>
    <t>Grundsatzprobleme wirtschaftspolitischer Beratung. : Das Beispiel der Stabilisierungspolitik. Verhandlungen auf der Tagung des Vereins für Socialpolitik in Baden-Baden 1967.</t>
  </si>
  <si>
    <t>Probleme der Haushalts- und Finanzplanung.</t>
  </si>
  <si>
    <t>Lohnpolitik und Einkommensverteilung. : Verhandlungen auf der Tagung des Vereins für Socialpolitik in Berlin 1968.</t>
  </si>
  <si>
    <t>Der ökonomische Differenzierungsprozeß im heutigen Handwerk.</t>
  </si>
  <si>
    <t>Die Vorausschätzung von Brancheninvestitionen mit Hilfe von Faktor-Output-Relationen.</t>
  </si>
  <si>
    <t>Wachstumsprobleme in den osteuropäischen Volkswirtschaften. : Bd. I.</t>
  </si>
  <si>
    <t>Wachstumsprobleme in den osteuropäischen Volkswirtschaften. : Bd. II.</t>
  </si>
  <si>
    <t>Zur Problematik der Sozialinvestitionen.</t>
  </si>
  <si>
    <t>Theorie und Praxis der Infrastrukturpolitik.</t>
  </si>
  <si>
    <t>Voraussetzungen einer globalen Entwicklungspolitik und Beiträge zur Kosten- und Nutzenanalyse.</t>
  </si>
  <si>
    <t>Grundfragen der Infrastrukturplanung für wachsende Wirtschaften. : Verhandlungen auf der Tagung des Vereins für Socialpolitik in Innsbruck 1970.</t>
  </si>
  <si>
    <t>Methoden der mittelfristigen Steuervorausschätzung. : Zur mittelfristigen Entwicklung des Steueraufkommens in der Bundesrepublik Deutschland.</t>
  </si>
  <si>
    <t>Der Private Verbrauch in der Bundesrepublik Deutschland. : Verflechtungstabellen nach Ausgabearten und Branchen 1950 - 1967.</t>
  </si>
  <si>
    <t>Probleme der Staatsverschuldung.</t>
  </si>
  <si>
    <t>Rationalisierung durch Kartelle?</t>
  </si>
  <si>
    <t>Aspekte der Friedensforschung und Entscheidungsprobleme in der Sozialpolitik.</t>
  </si>
  <si>
    <t>Investitions- und Industrialisierungsprobleme in Entwicklungsländern.</t>
  </si>
  <si>
    <t>Beiträge zu Wirtschaftswachstum und Wirtschaftsstruktur im 16. und 19. Jahrhundert.</t>
  </si>
  <si>
    <t>Studien zur Geldtheorie und monetäre Ökonometrie.</t>
  </si>
  <si>
    <t>Neue Wege der Wirtschaftspolitik.</t>
  </si>
  <si>
    <t>Branchenstruktur und Wachstumsaussichten in Hessen.</t>
  </si>
  <si>
    <t>Der Staatssektor in der Input-Output-Rechnung. : Verflechtungstabellen für die Bundesrepublik Deutschland nach Aufgabenbereichen und Branchen 1954 - 1967.</t>
  </si>
  <si>
    <t>Besteuerung und Zahlungsbilanz.</t>
  </si>
  <si>
    <t>Das Eigenpotential im Entwicklungsprozeß.</t>
  </si>
  <si>
    <t>Information, Motivation und Entscheidung. : Studien zum Vergleich von Wirtschaftssystemen.</t>
  </si>
  <si>
    <t>Wachstumszyklen. : Über die neue Form der Konjunkturschwankungen. Theoretische und empirische Beiträge.</t>
  </si>
  <si>
    <t>Leitbilder und Zielsysteme der Sozialpolitik.</t>
  </si>
  <si>
    <t>Die Konzentration in der Wirtschaft - On Economic Concentration. : Erster Band.</t>
  </si>
  <si>
    <t>Die Konzentration in der Wirtschaft - On Economic Concentration. : Zweiter Band.</t>
  </si>
  <si>
    <t>Öffentliche Finanzwirtschaft und Verteilung I.</t>
  </si>
  <si>
    <t>Beiträge zur Beurteilung von Entwicklungsstrategien.</t>
  </si>
  <si>
    <t>Das Handwerk im Wachstum der Wirtschaft. : Eine statistische Analyse.</t>
  </si>
  <si>
    <t>Struktur- und stabilitätspolitische Probleme in alternativen Wirtschaftssystemen.</t>
  </si>
  <si>
    <t>Probleme der weltwirtschaftlichen Arbeitsteilung. : Verhandlungen auf der Arbeitstagung des Vereins für Socialpolitik und des Instituts für Weltwirtschaft in Kiel 1973.</t>
  </si>
  <si>
    <t>Rationalisierungseffekte der Walzstahlkontore und der Rationalisierungsgruppen.</t>
  </si>
  <si>
    <t>Öffentliche Finanzwirtschaft und Verteilung II.</t>
  </si>
  <si>
    <t>Studien zum Inflationsproblem.</t>
  </si>
  <si>
    <t>Öffentliche Finanzwirtschaft und Verteilung III.</t>
  </si>
  <si>
    <t>Vom Kleingewerbe zur Großindustrie. : Quantitativ-regionale und politisch-rechtliche Aspekte zur Erforschung der Wirtschafts- und Gesellschaftsstruktur im 19. Jahrhundert.</t>
  </si>
  <si>
    <t>Neue Dimensionen der Arbeitsmarktpolitik in der BRD.</t>
  </si>
  <si>
    <t>Ökonometrische Analyse der Ausgabearten des Privaten Verbrauchs. : Eine ökonometrische Analyse des Privaten Verbrauchs nach Ausgabearten für die Bundesrepublik Deutschland 1950 - 1967.</t>
  </si>
  <si>
    <t>Aktuelle Probleme der Gesundheitspolitik in der BRD.</t>
  </si>
  <si>
    <t>Eigenfinanzierung der Entwicklung.</t>
  </si>
  <si>
    <t>Wettbewerbsprobleme im Kreditgewerbe.</t>
  </si>
  <si>
    <t>Stabilisierungspolitik in der Marktwirtschaft. : Verhandlungen auf der Tagung des Vereins für Socialpolitik in Zürich 1974.</t>
  </si>
  <si>
    <t>Die Bauwirtschaft. : Eine vorwiegend statistische Analyse.</t>
  </si>
  <si>
    <t>Wirtschaftsstrukturelle Bestandsaufnahme für das Ruhrgebiet.</t>
  </si>
  <si>
    <t>Öffentliche Finanzwirtschaft und Verteilung IV.</t>
  </si>
  <si>
    <t>Die Bedeutung gesellschaftlicher Veränderungen für die Willensbildung im Unternehmen. : Verhandlungen auf der Arbeitstagung des Vereins für Socialpolitik in Aachen 1975.</t>
  </si>
  <si>
    <t>Probleme der nationalsozialistischen Wirtschaftspolitik.</t>
  </si>
  <si>
    <t>Integration der Entwicklungsländer in eine instabile Weltwirtschaft – Probleme, Chancen, Gefahren.</t>
  </si>
  <si>
    <t>Wachstum und Strukturbildung bei Ausländerbeschäftigung.</t>
  </si>
  <si>
    <t>Ökonomische Probleme der Umweltschutzpolitik.</t>
  </si>
  <si>
    <t>Soziale Probleme der modernen Industriegesellschaft. : Verhandlungen auf der Arbeitstagung des Vereins für Socialpolitik in Augsburg 1976.</t>
  </si>
  <si>
    <t>Der Einzelhandel 1959 - 1985.</t>
  </si>
  <si>
    <t>Öffentliche Finanzwirtschaft und Verteilung V.</t>
  </si>
  <si>
    <t>Strukturdiagnose in der Marktwirtschaft.</t>
  </si>
  <si>
    <t>Wachstum, Einkommensverteilung und Beschäftigung in Entwicklungsländern.</t>
  </si>
  <si>
    <t>Die Problematik der Vollbeschäftigung. : Verhandlungen auf der Tagung des Vereins für Socialpolitik in Bad Pyrmont 1950.</t>
  </si>
  <si>
    <t>Die Berliner Wirtschaft zwischen Ost und West. : Die Reform der Sozialpolitik durch einen deutschen Sozialplan. Verhandlungen auf der Sondertagung des Vereins für Socialpolitik in Berlin 1952.</t>
  </si>
  <si>
    <t>Die Verflechtung der Sozialleistungen. : Ergebnisse einer Stichprobe.</t>
  </si>
  <si>
    <t>Einkommensbildung und Einkommensverteilung. : Verhandlungen auf der Tagung des Vereins für Socialpolitik in Köln 1956.</t>
  </si>
  <si>
    <t>Finanz- und währungspolitische Bedingungen stetigen Wirtschaftswachstums. : Verhandlungen auf der Tagung des Vereins für Socialpolitik in Baden-Baden 1958.</t>
  </si>
  <si>
    <t>Zur Neuen Sozialen Frage.</t>
  </si>
  <si>
    <t>Einkommensverteilung und technischer Fortschritt.</t>
  </si>
  <si>
    <t>Probleme des Finanzausgleichs I.</t>
  </si>
  <si>
    <t>Die Konzentration in der Wirtschaft. : Verhandlungen auf der Tagung des Vereins für Socialpolitik in Bad Kissingen 1960.</t>
  </si>
  <si>
    <t>Ökonomische Verfügungsrechte und Allokationsmechanismen in Wirtschaftssystemen.</t>
  </si>
  <si>
    <t>Zur Theorie und Praxis der Mitbestimmung. : Bd. 1.</t>
  </si>
  <si>
    <t>Diagnose und Prognose als wirtschaftswissenschaftliche Methodenprobleme. : Verhandlungen auf der Arbeitstagung des Vereins für Socialpolitik in Garmisch-Partenkirchen 1961.</t>
  </si>
  <si>
    <t>Theorien des einzelwirtschaftlichen und des gesamtwirtschaftlichen Wachstums.</t>
  </si>
  <si>
    <t>Neuere Entwicklungen in den Wirtschaftswissenschaften. : Verhandlungen auf der Arbeitstagung des Vereins für Socialpolitik in Münster 1977.</t>
  </si>
  <si>
    <t>Aktuelle Probleme der Arbeitslosigkeit.</t>
  </si>
  <si>
    <t>Recurrent Education und Berufliche Flexibilitätsforschung.</t>
  </si>
  <si>
    <t>Grundfragen der Gesetzgebungslehre, : erörtert anhand neuerer Gesetzgebungsvorhaben insbesondere der Neuregelung des Bergschadensrechts.</t>
  </si>
  <si>
    <t>Staat und Wirtschaft. : Verhandlungen auf der Arbeitstagung des Vereins für Socialpolitik in Hamburg 1978.</t>
  </si>
  <si>
    <t>Marketing im Handwerk.</t>
  </si>
  <si>
    <t>Die Sicherung des Arbeitsplatzes. : Lohntheoretische und arbeitsmarktpolitische Beiträge.</t>
  </si>
  <si>
    <t>Entwicklung und Aufgaben von Versicherungen und Banken in der Industrialisierung.</t>
  </si>
  <si>
    <t>Lenkungsprobleme und Inflation in Planwirtschaften.</t>
  </si>
  <si>
    <t>Probleme des Finanzausgleichs II.</t>
  </si>
  <si>
    <t>Wettbewerb in der pharmazeutischen Industrie.</t>
  </si>
  <si>
    <t>Staatliche Umverteilungspolitik in historischer Perspektive. : Beiträge zur Entwicklung des Staatsinterventionismus in Deutschland und Österreich.</t>
  </si>
  <si>
    <t>Erschöpfbare Ressourcen. : Verhandlungen auf der Arbeitstagung der Gesellschaft für Wirtschafts- und Sozialwissenschaften - Verein für Socialpolitik - in Mannheim vom 24. - 26. September 1979.</t>
  </si>
  <si>
    <t>Das Handwerk in der Bundesrepublik Deutschland.</t>
  </si>
  <si>
    <t>Geldpolitik, Zins und Staatsverschuldung.</t>
  </si>
  <si>
    <t>Die Umverteilungswirkungen der Staatstätigkeit bei den wichtigsten Haushaltstypen.</t>
  </si>
  <si>
    <t>Konzept und Kritik des Humankapitalansatzes.</t>
  </si>
  <si>
    <t>Zur Marxistischen und Neuen Politischen Ökonomie.</t>
  </si>
  <si>
    <t>Beiträge zur Industrialisierungs- und Handelspolitik der Entwicklungsländer.</t>
  </si>
  <si>
    <t>Zur Prognoseleistung ökonometrischer Konjunkturmodelle für die Bundesrepublik Deutschland.</t>
  </si>
  <si>
    <t>Internationale Anpassungsprozesse.</t>
  </si>
  <si>
    <t>Anreiz- und Kontrollmechanismen in Wirtschaftssystemen I.</t>
  </si>
  <si>
    <t>Entwicklungsprobleme einer Region: Das Beispiel Rheinland und Westfalen im 19. Jahrhundert.</t>
  </si>
  <si>
    <t>Beiträge zum Äquivalenzprinzip und zur Zweckbindung öffentlicher Einnahmen.</t>
  </si>
  <si>
    <t>Wert- und Präferenzprobleme in den Sozialwissenschaften.</t>
  </si>
  <si>
    <t>Dynamische Theorie der Sozialpolitik.</t>
  </si>
  <si>
    <t>Die Mißbrauchsaufsicht vor dem Hintergrund der Entwicklungen der neueren Wettbewerbstheorie.</t>
  </si>
  <si>
    <t>Die Rolle des Staates für die wirtschaftliche Entwicklung.</t>
  </si>
  <si>
    <t>Information in der Wirtschaft. : Verhandlungen auf der Arbeitstagung des Vereins für Socialpolitik in Graz 1981.</t>
  </si>
  <si>
    <t>Anreiz- und Kontrollmechanismen in Wirtschaftssystemen II.</t>
  </si>
  <si>
    <t>Arbeitsmarkt und Arbeitsmarktpolitik.</t>
  </si>
  <si>
    <t>Zur optimalen Besteuerung.</t>
  </si>
  <si>
    <t>Ordnungspolitische Fragen zum Nord-Süd-Konflikt.</t>
  </si>
  <si>
    <t>Aktuelle Wege der Wirtschaftspolitik.</t>
  </si>
  <si>
    <t>Determinanten der räumlichen Entwicklung.</t>
  </si>
  <si>
    <t>Beiträge zum Problem der Schattenwirtschaft.</t>
  </si>
  <si>
    <t>Finanzsysteme: Ideal- und Realtypen - Gesundheitswesen und Hochschulbildung.</t>
  </si>
  <si>
    <t>Entwicklungsländer in der Finanzkrise. : Probleme und Perspektiven.</t>
  </si>
  <si>
    <t>Staatsfinanzierung im Wandel. : Verhandlungen auf der Jahrestagung des Vereins für Socialpolitik in Köln 1982.</t>
  </si>
  <si>
    <t>Geld- und Währungsordnung.</t>
  </si>
  <si>
    <t>Devisenmarktinterventionen der Zentralbanken.</t>
  </si>
  <si>
    <t>Normengeleitetes Verhalten in den Sozialwissenschaften.</t>
  </si>
  <si>
    <t>Wachstumsverlangsamung und Konjunkturzyklen in unterschiedlichen Wirtschaftssystemen.</t>
  </si>
  <si>
    <t>Selbstverwaltung als ordnungspolitisches Problem des Sozialstaates II.</t>
  </si>
  <si>
    <t>Folgekosten von Entwicklungsprojekten - Probleme und Konsequenzen für eine effizientere Entwicklungspolitik.</t>
  </si>
  <si>
    <t>Externe Verschuldung - interne Anpassung. : Entwicklungsländer in der Finanzkrise.</t>
  </si>
  <si>
    <t>Produktivitätsentwicklung staatlicher Leistungen.</t>
  </si>
  <si>
    <t>Stahlkrise - Ist der Staat gefordert? : Tagungsband zum RWI-Symposion vom 19. 3. 1984. Vorb. und Ltg. des Symposions: Helmut Wienert.</t>
  </si>
  <si>
    <t>Nordrhein-Westfalen in der Krise - Krise in Nordrhein-Westfalen? : Tagungsband zum RWI-Symposium vom 24. und 25.10.1984. Wiss. Ltg.: Willi Lamberts. Org. Ltg.: Matthias Köppel.</t>
  </si>
  <si>
    <t>Probleme der Bildungsfinanzierung.</t>
  </si>
  <si>
    <t>Ethik und Wirtschaftswissenschaft.</t>
  </si>
  <si>
    <t>Budgetpolitik im Wandel.</t>
  </si>
  <si>
    <t>China im Konflikt zwischen verschiedenen Ordnungskonzeptionen.</t>
  </si>
  <si>
    <t>Strukturpolitische Probleme der Automobil-Industrie unter dem Aspekt des Wettbewerbs.</t>
  </si>
  <si>
    <t>Sozialpolitik in der Beschäftigungskrise I.</t>
  </si>
  <si>
    <t>Probleme und Perspektiven der weltwirtschaftlichen Entwicklung. : Jahrestagung des Vereins für Socialpolitik in Travemünde 1984.</t>
  </si>
  <si>
    <t>Beiträge zur Bevölkerungsökonomie.</t>
  </si>
  <si>
    <t>Die internationale Schuldenkrise. : Ursachen - Konsequenzen - Historische Erfahrungen.</t>
  </si>
  <si>
    <t>Entwicklungstheorie - Entwicklungspraxis. : Eine kritische Bilanzierung.</t>
  </si>
  <si>
    <t>Transfer-Einkommen und Einkommensverteilung.</t>
  </si>
  <si>
    <t>Stadtwachstum, Industrialisierung, Sozialer Wandel. : Beiträge zur Erforschung der Urbanisierung im 19. und 20. Jahrhundert.</t>
  </si>
  <si>
    <t>Sozialpolitik in der Beschäftigungskrise II.</t>
  </si>
  <si>
    <t>Nationale Wege der Inflationsbekämpfung.</t>
  </si>
  <si>
    <t>Wandlungen der Besteuerung.</t>
  </si>
  <si>
    <t>Ökonomie des Gesundheitswesens. : Jahrestagung des Vereins für Socialpolitik in Saarbrücken 1985.</t>
  </si>
  <si>
    <t>Geldpolitische Regelbindung: theoretische Entwicklungen und empirische Befunde.</t>
  </si>
  <si>
    <t>Wettbewerb im Medienbereich.</t>
  </si>
  <si>
    <t>Kapitaldeckungsverfahren versus Umlageverfahren. : Demographische Entwicklung und Finanzierung von Altersversicherung und Familienlastenausgleich.</t>
  </si>
  <si>
    <t>Die Familie als Gegenstand sozialwissenschaftlicher Forschung.</t>
  </si>
  <si>
    <t>Kapitalmarkt und Finanzierung. : Jahrestagung des Vereins für Socialpolitik, Gesellschaft für Wirtschafts- und Sozialwissenschaften, in München vom 15. - 17. September 1986.</t>
  </si>
  <si>
    <t>Beiträge zu ökonomischen Problemen des Föderalismus.</t>
  </si>
  <si>
    <t>Theoriebildung und empirische Forschung im Systemvergleich.</t>
  </si>
  <si>
    <t>Probleme der ländlichen Entwicklung in der Dritten Welt.</t>
  </si>
  <si>
    <t>Bildung, Beruf, Arbeitsmarkt.</t>
  </si>
  <si>
    <t>Familienlastenausgleich und demographische Entwicklung.</t>
  </si>
  <si>
    <t>Wechselkursstabilisierung und Währungskooperation. : Mit einem Vorwort von Jürgen Siebke.</t>
  </si>
  <si>
    <t>Regulierung und Deregulierung im Bereich der Sozialpolitik.</t>
  </si>
  <si>
    <t>Wettbewerb und Anpassung in der Stahlindustrie.</t>
  </si>
  <si>
    <t>Beschäftigungsprobleme hochentwickelter Volkswirtschaften. : Jahrestagung des Vereins für Socialpolitik, Gesellschaft für Wirtschafts- und Sozialwissenschaften, in Berlin vom 14. - 16. September 1987.</t>
  </si>
  <si>
    <t>Probleme der Konjunkturtheorie im ausgehenden 19. Jahrhundert. : Studien zur Entwicklung der ökonomischen Theorie VII.</t>
  </si>
  <si>
    <t>Regulierung und Wettbewerb im europäischen Luftverkehr.</t>
  </si>
  <si>
    <t>Wettbewerbsprobleme öffentlich- und privatrechtlicher Medien.</t>
  </si>
  <si>
    <t>Einkommensverteilung und Bevölkerungsentwicklung.</t>
  </si>
  <si>
    <t>Deutsche Nationalökonomie in der Zwischenkriegszeit. : Studien zur Entwicklung der ökonomischen Theorie VIII.</t>
  </si>
  <si>
    <t>Probleme der Finanzgeschichte des 19. und 20. Jahrhunderts.</t>
  </si>
  <si>
    <t>Regionale Beschäftigung und Technologieentwicklung.</t>
  </si>
  <si>
    <t>Währungsreform und Soziale Marktwirtschaft. : Erfahrungen und Perspektiven nach 40 Jahren. Jahrestagung des Vereins für Socialpolitik, Gesellschaft für Wirtschafts- und Sozialwissenschaften, in Freiburg i. Br. vom 5. - 7. Oktober 1988.</t>
  </si>
  <si>
    <t>Strukturelle Anpassung altindustrieller Regionen im internationalen Vergleich.</t>
  </si>
  <si>
    <t>Schattenwirtschaft und Strukturwandel in der Bundesrepublik Deutschland.</t>
  </si>
  <si>
    <t>Einbeziehung von Umweltindikatoren in die Regionalpolitik.</t>
  </si>
  <si>
    <t>Friedrich List: Voraussetzungen und Folgen. : Studien zur Entwicklung der ökonomischen Theorie X.</t>
  </si>
  <si>
    <t>Möglichkeiten und Grenzen der Steuerung von Rückstandsmaterialströmen über den Abfallbeseitigungspreis.</t>
  </si>
  <si>
    <t>Die Stahlindustrie in der DDR.</t>
  </si>
  <si>
    <t>Die Darstellung der Wirtschaft und der Wirtschaftswissenschaften in der Belletristik. : Studien zur Entwicklung der ökonomischen Theorie XI.</t>
  </si>
  <si>
    <t>Politische Maßnahmen zur Verbesserung von Standortqualitäten.</t>
  </si>
  <si>
    <t>Konsumstruktur, Umweltbewußtsein und Umweltpolitik. : Eine makroökonomische Analyse des Zusammenhanges in ausgewählten Konsumbereichen.</t>
  </si>
  <si>
    <t>Konflikte um Standorte für Abfallbehandlungs- und -beseitigungsanlagen. : Ursachen und Lösungsansätze aus ökonomischer Sicht.</t>
  </si>
  <si>
    <t>Ausländische Selbständige in der Bundesrepublik : unter besonderer Berücksichtigung von Entwicklungsperspektiven in den neuen Bundesländern.</t>
  </si>
  <si>
    <t>Die Tarifierung elektrischer Energie. : Eine kritische Analyse aus ökonomischer Sicht.</t>
  </si>
  <si>
    <t>Krisenmanagement in der Stahlindustrie. : Eine theoretische und empirische Analyse der europäischen Stahlpolitik 1975 bis 1988.</t>
  </si>
  <si>
    <t>Verkehrsinfrastrukturpolitik in der Marktwirtschaft. : Eine institutionenökonomische Analyse.</t>
  </si>
  <si>
    <t>Regionales Innovationsmanagement unter den Bedingungen einer regionalisierten Strukturpolitik. : Das Beispiel der altindustriellen Regionen Nord-Pas-de-Calais und Emscher-Lippe.</t>
  </si>
  <si>
    <t>Das politische Denken von Christian Thomasius. : Staat, Gesellschaft, Bürger.</t>
  </si>
  <si>
    <t>Legal Linguistics Beyond Borders: Language and Law in a World of Media, Globalisation and Social Conflicts. : Relaunching the International Language and Law Association (ILLA).</t>
  </si>
  <si>
    <t>Der König und sein Beichtvater. : Friedrich Wilhelm IV. und Carl Wilhelm Saegert. Briefwechsel 1848 bis 1856. Red.: Mathias Friedel.</t>
  </si>
  <si>
    <t>Carl von Schubert (1882–1947). : Sein Beitrag zur internationalen Politik in der Ära der Weimarer Republik. Ausgewählte Dokumente. Mit einer biographischen Einleitung von Martin Kröger.</t>
  </si>
  <si>
    <t>Ein preußischer Gesandter in München. : Georg Freiherr von Werthern. Tagebuch und politische Korrespondenz mit Bismarck 1867–1888. Red.: Mathias Friedel.</t>
  </si>
  <si>
    <t>Briefe eines Intellektuellen 1886–1937. : Hrsg. von Thomas Kroll - Friedrich Lenger - Michael Schellenberger.</t>
  </si>
  <si>
    <t>Menschen, die ich kannte. : Erinnerungen eines Achtzigjährigen.</t>
  </si>
  <si>
    <t>Fritz Hartung – Korrespondenz eines Historikers zwischen Kaiserreich und zweiter Nachkriegszeit</t>
  </si>
  <si>
    <t>Der Grundsatz digitaler Souveränität. : Eine Untersuchung zur Zulässigkeit des Einbindens privater IT-Dienstleister in die Aufgabenwahrnehmung der öffentlichen Verwaltung.</t>
  </si>
  <si>
    <t>Untersuchungen über die Lebenskosten in der Schweiz. : Untersuchungen über Preisbildung. Abteilung C: Kosten der Lebenshaltung. Erster Teil. (Schriften des Vereins für Sozialpolitik 146-I).</t>
  </si>
  <si>
    <t>Geschichte des Vereins für Sozialpolitik 1872–1932. : Im Auftrage des Liquidationsausschusses verfaßt vom Schriftführer. (Schriften des Vereins für Sozialpolitik, Band 188).</t>
  </si>
  <si>
    <t>Moderne Organisationsformen der öffentlichen Unternehmung. : Zweiter Teil: Deutsches Reich. Mit elf Beiträgen. (Schriften des Vereins für Sozialpolitik, Band 176-II).</t>
  </si>
  <si>
    <t>Die Arbeitslosigkeit der Gegenwart. : Zweiter Teil: Deutsches Reich I. (Schriften des Vereins für Sozialpolitik, Band 185-II).</t>
  </si>
  <si>
    <t>Die Arbeitslosigkeit der Gegenwart. : Dritter Teil: Deutsches Reich II. (Schriften des Vereins für Sozialpolitik, Band 185-III).</t>
  </si>
  <si>
    <t>Die betriebliche Sozialpolitik in der westdeutschen Großeisenindustrie. : Die betriebliche Sozialpolitik einzelner Industriezweige, zweiter Teil. Hrsg. von Goetz Briefs. (Schriften des Vereins für Sozialpolitik, Band 186-II).</t>
  </si>
  <si>
    <t>Zur Reform des Actiengesellschaftswesens. : Drei Gutachten auf Veranlassung der Eisenacher Versammlung zur Besprechung der socialen Frage. (Schriften des Vereins für Socialpolitik I).</t>
  </si>
  <si>
    <t>Ueber Fabrikgesetzgebung, Schiedsgerichte und Einigungsämter. : Gutachten auf Veranlassung der Eisenacher Versammlung zur Besprechung der socialen Frage. (Schriften des Vereins für Socialpolitik II).</t>
  </si>
  <si>
    <t>Die Personalbesteuerung. : Gutachten auf Veranlassung der Eisenacher Versammlung zur Besprechung der socialen Frage. (Schriften des Vereins für Socialpolitik III).</t>
  </si>
  <si>
    <t>Verhandlungen des Vereins für Socialpolitik am 12. und 13. October 1873. : Auf Grund der stenographischen Niederschrift hrsg. vom Ständigen Ausschuß. (Schriften des Vereins für Socialpolitik IV).</t>
  </si>
  <si>
    <t>Ueber Alters- und Invalidencassen für Arbeiter. : Gutachten auf Veranlassung des Vereins für Socialpolitik. Im Anhang der Entwurf zu einem Gesetz betr. die gegenseitigen Hülfscassen. (Schriften des Vereins für Socialpolitik V).</t>
  </si>
  <si>
    <t>Ueber Betheiligung der Arbeiter am Unternehmergewinn. : Gutachten auf Veranlassung des Vereins für Socialpolitik. (Schriften des Vereins für Socialpolitik VI).</t>
  </si>
  <si>
    <t>Ueber Bestrafung des Arbeitsvertragsbruches. : Gutachten auf Veranlassung des Vereins für Socialpolitik. (Schriften des Vereins für Socialpolitik VII).</t>
  </si>
  <si>
    <t>Die progressive Einkommensteuer im Staats- und Gemeinde-Haushalt. : Gutachten über Personalbesteuerung, auf Veranlassung des Vereins für Socialpolitik. (Schriften des Vereins für Socialpolitik VIII).</t>
  </si>
  <si>
    <t>Verhandlungen der zweiten Generalversammlung des Vereins für Socialpolitik am 11. und 12. October 1874. : Auf Grund der stenographischen Niederschrift hrsg. vom Ständigen Ausschuß. (Schriften des Vereins für Socialpolitik IX).</t>
  </si>
  <si>
    <t>Die Reform des Lehrlingswesens. : Sechszehn Gutachten und Berichte veröffentlicht vom Verein für Socialpolitik. (Schriften des Vereins für Socialpolitik X).</t>
  </si>
  <si>
    <t>Verhandlungen der dritten Generalversammlung des Vereins für Socialpolitik am 10., 11. und 12. October 1875. : Auf Grund der stenographischen Niederschrift hrsg. vom Ständigen Ausschuß. (Schriften des Vereins für Socialpolitik XI).</t>
  </si>
  <si>
    <t>Die Communalsteuerfrage. : Zehn Gutachten und Berichte veröffentlicht vom Verein für Socialpolitik. (Schriften des Vereins für Socialpolitik XII).</t>
  </si>
  <si>
    <t>Das Verfahren bei Enquêten über sociale Verhältnisse. : Drei Gutachten nebst einem Anhang. (Schriften des Vereins für Socialpolitik XIII).</t>
  </si>
  <si>
    <t>Verhandlungen der fünften Generalversammlung des Vereins für Socialpolitik am 8., 9. und 10. October 1877. : Auf Grund der stenographischen Niederschrift hrsg. vom Ständigen Ausschuß. (Schriften des Vereins für Socialpolitik XIV).</t>
  </si>
  <si>
    <t>Das Gewerbliche Fortbildungswesen. : Sieben Gutachten und Berichte veröffentlicht vom Verein für Socialpolitik. (Schriften des Vereins für Socialpolitik XV).</t>
  </si>
  <si>
    <t>Verhandlungen der sechsten Generalversammlung des Vereins für Socialpolitik über die Zolltarifvorlagen am 21. und 22. April 1879 in Frankfurt a.M. : Auf Grund der stenographischen Niederschrift hrsg. vom Ständigen Ausschuß. (Schriften des Vereins für Socialpolitik XVI).</t>
  </si>
  <si>
    <t>Die Amerikanischen Gewerkvereine. : (Schriften des Vereins für Socialpolitik XVIII).</t>
  </si>
  <si>
    <t>Gewerkvereine und Unternehmerverbände in Frankreich. : Ein Beitrag zur Kenntnis der socialen Bewegung. (Schriften des Vereins für Socialpolitik XVII).</t>
  </si>
  <si>
    <t>Die Haftpflichtfrage. : Gutachten und Berichte veröffentlicht vom Verein für Socialpolitik. (Schriften des Vereins für Socialpolitik XIX).</t>
  </si>
  <si>
    <t>Das Erbrecht und die Grundeigenthumsvertheilung im Deutschen Reiche. : Ein socialwirthschaftlicher Beitrag zur Kritik und Reform des deutschen Erbrechts. Erste Abtheilung: Die Vertheilung des landwirthschaftlich benutzten Grundeigenthums und das gemeine Erbrecht. (Schriften des Vereins für Socialpolitik XX).</t>
  </si>
  <si>
    <t>Verhandlungen der am 9. und 10. October 1882 in Frankfurt a.M. abgehaltenen Generalversammlung des Vereins für Socialpolitik über Grundeigenthumsvertheilung und Erbrechtsreform</t>
  </si>
  <si>
    <t>Bäuerliche Zustände in Deutschland. : Berichte veröffentlicht vom Verein für Socialpolitik. Erster Band. (Schriften des Vereins für Socialpolitik XXII).</t>
  </si>
  <si>
    <t>Bäuerliche Zustände in Deutschland. : Berichte veröffentlicht vom Verein für Socialpolitik. Zweiter Band. (Schriften des Vereins für Socialpolitik XXIII).</t>
  </si>
  <si>
    <t>Bäuerliche Zustände in Deutschland. : Berichte veröffentlicht vom Verein für Socialpolitik. Dritter Band. (Schriften des Vereins für Socialpolitik XXIV).</t>
  </si>
  <si>
    <t>Das Erbrecht und die Grundeigenthumsvertheilung im Deutschen Reiche. : Ein socialwirthschaftlicher Beitrag zur Kritik und Reform des deutschen Erbrechts. Zweite Abtheilung: Das Familienfideicommiß, das landwirthschaftliche Erbgut und das Anerbenrecht. (Schriften des Vereins für Socialpolitik XXV).</t>
  </si>
  <si>
    <t>Die Arbeiterversicherung in Frankreich. : (Schriften des Vereins für Socialpolitik XXVI).</t>
  </si>
  <si>
    <t>Agrarische Zustände in Frankreich und England. : Auf Grund der neueren Enquêten dargestellt. (Schriften des Vereins für Socialpolitik XXVII).</t>
  </si>
  <si>
    <t>Verhandlungen der am 6. und 7. October 1884 in Frankfurt a.M. abgehaltenen Generalversammlung des Vereins für Socialpolitik über Maßregeln der Gesetzgebung und Verwaltung zur Erhaltung des bäuerlichen Grundbesitzes : und über die Einwirkung der Organisation unserer höheren und mittleren Schulen auf das sociale Leben und die Erwerbsthätigkeit der Nation. Auf Grund der stenogr. Niederschrift hrsg. vom Ständigen Ausschuß. (Schriften des Vereins für Socialpolitik XXVIII).</t>
  </si>
  <si>
    <t>Agrarische Zustände in Italien. : Auf Grund der jüngsten Enquête und anderer offizieller Quellen dargestellt. (Schriften des Vereins für Socialpolitik XXIX).</t>
  </si>
  <si>
    <t>Die Wohnungsnoth der ärmeren Klassen in deutschen Großstädten und Vorschläge zu deren Abhülfe. : Erster Band. Gutachten und Berichte hrsg. im Auftrage des Vereins für Socialpolitik. (Schriften des Vereins für Socialpolitik XXX).</t>
  </si>
  <si>
    <t>Die Wohnungsnoth der ärmeren Klassen in deutschen Großstädten und Vorschläge zu deren Abhülfe. : Zweiter Band. Gutachten und Berichte hrsg. im Auftrage des Vereins für Socialpolitik. (Schriften des Vereins für Socialpolitik XXXI).</t>
  </si>
  <si>
    <t>Zur inneren Kolonisation in Deutschland. : Erfahrungen und Vorschläge hrsg. im Auftrage des Vereins für Socialpolitik. (Schriften des Vereins für Socialpolitik XXXII).</t>
  </si>
  <si>
    <t>Verhandlungen der am 24. und 25. September 1886 in Frankfurt a.M. abgehaltenen Generalversammlung des Vereins für Socialpolitik über die Wohnungsverhältnisse der ärmeren Klassen in deutschen Großstädten : und über innere Kolonisation mit Rücksicht auf die Erhaltung und Vermehrung des mittleren und kleineren ländlichen Grundbesitzes. Auf Grund der stenographischen Niederschrift hrsg. vom Ständigen Ausschuß. (Schriften des Vereins für Socialpolitik XXXIII).</t>
  </si>
  <si>
    <t>Die Vorbildung zum höheren Verwaltungsdienste in den deutschen Staaten, Oesterreich und Frankreich. : Berichte und Gutachten veröffentlicht vom Verein für Socialpolitik. (Schriften des Vereins für Socialpolitik XXXIV).</t>
  </si>
  <si>
    <t>Der Wucher auf dem Lande. : Berichte und Gutachten veröffentlicht vom Verein für Socialpolitik. (Schriften des Vereins für Socialpolitik XXXV).</t>
  </si>
  <si>
    <t>Der Einfluß des Zwischenhandels auf die Preise auf Grund der Preisentwicklung im aachener Kleinhandel. : Untersuchungen über den Einfluß der distributiven Gewerbe auf die Preise, erstes Heft. (Schriften des Vereins für Socialpolitik XXXVI).</t>
  </si>
  <si>
    <t>Litteratur, heutige Zustände und Entstehung der deutschen Hausindustrie. : Nach den vorliegenden gedruckten Quellen. Die deutsche Hausindustrie, erster Band. (Schriften des Vereins für Socialpolitik XXXIX).</t>
  </si>
  <si>
    <t>Die Hausindustrie im nördlichen Thüringen. : Berichte. Die deutsche Hausindustrie, zweiter Band. (Schriften des Vereins für Socialpolitik XL).</t>
  </si>
  <si>
    <t>Berichte aus der Hausindustrie im südwestlichen Deutschland. : Die deutsche Hausindustrie, dritter Band. (Schriften des Vereins für Socialpolitik XLI).</t>
  </si>
  <si>
    <t>Berichte aus der Hausindustrie in Berlin, Osnabrück, im Fichtelgebirge und in Schlesien. : Die deutsche Hausindustrie, vierter Band. (Schriften des Vereins für Socialpolitik XLII).</t>
  </si>
  <si>
    <t>Die Landgemeinde in den östlichen Provinzen Preußens und die Versuche, eine Landgemeindeordnung zu schaffen. : (Schriften des Vereins für Socialpolitik XLIII).</t>
  </si>
  <si>
    <t>Berichte über die Zustände und die Reform des ländlichen Gemeindewesens in Preußen. : (Schriften des Vereins für Socialpolitik XLIV).</t>
  </si>
  <si>
    <t>Arbeitseinstellungen und Fortbildung des Arbeitsvertrags. : Berichte im Auftrage des Vereins für Socialpolitik hrsg. und eingel. von Lujo Brentano. (Schriften des Vereins für Socialpolitik XLV).</t>
  </si>
  <si>
    <t>Arbeiter-Ausschüsse in der deutschen Industrie. : Gutachten, Berichte, Statuten hrsg. im Auftrage des Vereins für Socialpolitik. (Schriften des Vereins für Socialpolitik XLVI).</t>
  </si>
  <si>
    <t>Verhandlungen der am 26. und 27. September 1890 in Frankfurt a.M. abgehaltenen Generalversammlung des Vereins für Socialpolitik über die Reform der Landgemeindeordnung in Preußen : und über Arbeitseinstellungen und die Fortbildung des Arbeitsvertrags. Auf Grund der stenographischen Niederschrift hrsg. vom Ständigen Ausschuß. (Schriften des Vereins für Socialpolitik XLVII).</t>
  </si>
  <si>
    <t>Die Hausindustrie in der Stadt Leipzig und ihrer Umgebung. : Die deutsche Hausindustrie, fünfter Band. (Schriften des Vereins für Socialpolitik XLVIII).</t>
  </si>
  <si>
    <t>Die Ideen der deutschen Handelspolitik von 1860 bis 1891. : Die Handelspolitik der wichtigeren Kulturstaaten in den letzten Jahrzehnten, zweiter Band. (Schriften des Vereins für Socialpolitik L).</t>
  </si>
  <si>
    <t>Die Handelspolitik Nordamerikas, Italiens, Österreichs, Belgiens, der Niederlande, Dänemarks, Schwedens und Norwegens, Rußlands und der Schweiz in den letzten Jahrzehnten sowie die deutsche Handelsstatistik von 1880 bis 1890. : Berichte und Gutachten veröffentlicht vom Verein für Socialpolitik. Die Handelspolitik der wichtigeren Kulturstaaten in den letzten Jahrzehnten, erster Band. (Schriften des Vereins für Socialpolitik XLIX).</t>
  </si>
  <si>
    <t>Die Handelspolitik der Balkanstaaten Rumänien, Serbien und Bulgarien, Spaniens und Frankreichs in den letzten Jahrzehnten. : Berichte und Gutachten veröffentlicht vom Verein für Socialpolitik. Die Handelspolitik der wichtigeren Kulturstaaten in den letzten Jahrzehnten, dritter Band. (Schriften des Vereins für Socialpolitik LI).</t>
  </si>
  <si>
    <t>Auswanderung und Auswanderungspolitik in Deutschland. : Berichte über die Entwicklung und den gegenwärtigen Zustand des Auswanderungswesens in den Einzelstaaten und im Reich. Im Auftrage des Vereins für Socialpolitik hrsg. (Schriften des Vereins für Socialpolitik LII).</t>
  </si>
  <si>
    <t>Die Verhältnisse der Landarbeiter in Nordwestdeutschland, Württemberg, Baden und in den Reichslanden. : Geschildert auf Grund der vom Verein für Socialpolitik veranstalteten Erhebungen. Mit einem Anhang: Zur Statistik der deutschen Landarbeiter. Die Verhältnisse der Landarbeiter in Deutschland, erster Band. (Schriften des Vereins für Socialpolitik LIII).</t>
  </si>
  <si>
    <t>Die Verhältnisse der Landarbeiter in Hohenzollern, im Reg.-Bez. Wiesbaden, in Thüringen, Bayern, im Großherzogtum Hessen, Reg.-Bez. Kassel, Königreich Sachsen, in den Provinzen Schleswig-Holstein, Sachsen und Hannover südl. Teil, in den Herzogtümern : Braunschweig und Anhalt, in der Rheinprovinz und im Fürstentum Birkenfeld. Geschildert auf Grund der vom Ver. f. Socialpol. veranst. Erhebungen. Die Verhältnisse der Landarbeiter in Deutschland, zweiter Band. (Schriften des Vereins für Socialpolitik LIV).</t>
  </si>
  <si>
    <t>Die Verhältnisse der Landarbeiter im ostelbischen Deutschland (Preußische Provinzen Ost- und Westpreußen, Pommern, Posen, Schlesien, Brandenburg, Großherzogtümer Mecklenburg, Kreis Herzogtum Lauenburg). : Dargestellt auf Grund der vom Verein für Socialpolitik veranstalteten Erhebungen. Die Verhältnisse der Landarbeiter in Deutschland, dritter Band. (Schriften des Vereins für Socialpolitik LV).</t>
  </si>
  <si>
    <t>Die innere Kolonisation im östlichen Deutschland. : (Schriften des Vereins für Socialpolitik LVI).</t>
  </si>
  <si>
    <t>Die Handelspolitik Englands und seiner Kolonien in den letzten Jahrzehnten. : Die Handelspolitik der wichtigeren Kulturstaaten in den letzten Jahrzehnten, vierter Band. (Schriften des Vereins für Socialpolitik LVII).</t>
  </si>
  <si>
    <t>Verhandlungen der am 20. und 21. März 1893 in Berlin abgehaltenen Generalversammlung des Vereins für Socialpolitik über die ländliche Arbeiterfrage und über die Bodenbesitzverteilung und die Sicherung des Kleingrundbesitzes. : Auf Grund der stenographischen Niederschrift hrsg. vom Ständigen Ausschuß. (Schriften des Vereins für Socialpolitik LVIII).</t>
  </si>
  <si>
    <t>Die englischen Landarbeiter in den letzten hundert Jahren und die Einhegungen. : Mit einem Anhange über die ländlichen socialen Verhältnisse in Dänemark und Schweden von William Scharling und Pontus Fahlbeck. (Schriften des Vereins für Socialpolitik LIX).</t>
  </si>
  <si>
    <t>Über wirtschaftliche Kartelle in Deutschland und im Auslande. : Fünfzehn Schilderungen nebst einer Anzahl Statuten und Beilagen. (Schriften des Vereins für Socialpolitik LX).</t>
  </si>
  <si>
    <t>Verhandlungen der am 28. und 29. September 1894 in Wien abgehaltenen Generalversammlung des Vereins für Socialpolitik über die Kartelle und über das ländliche Erbrecht. : Auf Grund der stenographischen Niederschrift hrsg. vom Ständigen Ausschuß. (Schriften des Vereins für Socialpolitik LXI).</t>
  </si>
  <si>
    <t>Untersuchungen über die Lage des Handwerks in Deutschland mit besonderer Rücksicht auf seine Konkurrenzfähigkeit gegenüber der Großindustrie. : Erster Band: Königreich Preußen. Erster Teil. (Schriften des Vereins für Socialpolitik LXII).</t>
  </si>
  <si>
    <t>Untersuchungen über die Lage des Handwerks in Deutschland mit besonderer Rücksicht auf seine Konkurrenzfähigkeit gegenüber der Großindustrie. : Zweiter Band: Königreich Sachsen: Arbeiten aus dem Volkswirthschaftlich-statistischen Seminar der Universität Leipzig. Erster Teil. (Schriften des Vereins für Socialpolitik LXIII).</t>
  </si>
  <si>
    <t>Untersuchungen über die Lage des Handwerks in Deutschland mit besonderer Rücksicht auf seine Konkurrenzfähigkeit gegenüber der Großindustrie. : Dritter Band: Süddeutschland. (Schriften des Vereins für Socialpolitik LXIV).</t>
  </si>
  <si>
    <t>Untersuchungen über die Lage des Handwerks in Deutschland mit besonderer Rücksicht auf seine Konkurrenzfähigkeit gegenüber der Großindustrie. : Vierter Band: Königreich Preußen. Zweiter Teil. (Schriften des Vereins für Socialpolitik LXV).</t>
  </si>
  <si>
    <t>Untersuchungen über die Lage des Handwerks in Deutschland mit besonderer Rücksicht auf seine Konkurrenzfähigkeit gegenüber der Großindustrie. : Fünfter Band: Königreich Sachsen: Arbeiten aus dem Volkswirthschaftlich-statistischen Seminar der Universität Leipzig. Zweiter Teil. (Schriften des Vereins für Socialpolitik LXVI).</t>
  </si>
  <si>
    <t>Untersuchungen über die Lage des Handwerks in Deutschland mit besonderer Rücksicht auf seine Konkurrenzfähigkeit gegenüber der Großindustrie. : Sechster Band: Königreich Sachsen. Dritter Teil. (Schriften des Vereins für Socialpolitik LXVII).</t>
  </si>
  <si>
    <t>Untersuchungen über die Lage des Handwerks in Deutschland mit besonderer Rücksicht auf seine Konkurrenzfähigkeit gegenüber der Großindustrie. : Siebenter Band: Königreich Preußen. Dritter Teil. (Schriften des Vereins für Socialpolitik LXVIII).</t>
  </si>
  <si>
    <t>Untersuchungen über die Lage des Handwerks in Deutschland mit besonderer Rücksicht auf seine Konkurrenzfähigkeit gegenüber der Großindustrie. : Achter Band: Süddeutschland. Zweiter Teil. (Schriften des Vereins für Socialpolitik LXIX).</t>
  </si>
  <si>
    <t>Untersuchungen über die Lage des Handwerks in Deutschland mit besonderer Rücksicht auf seine Konkurrenzfähigkeit gegenüber der Großindustrie. : Neunter Band: Verschiedene Staaten. Mit einem Verzeichnis der Mitarbeiter, einem Orts- und Sachregister. (Schriften des Vereins für Socialpolitik LXX).</t>
  </si>
  <si>
    <t>Untersuchungen über die Lage des Handwerks in Österreich mit besonderer Rücksicht auf seine Konkurrenzfähigkeit gegenüber der Großindustrie. : (Schriften des Vereins für Socialpolitik LXXI).</t>
  </si>
  <si>
    <t>Englische Auswanderung und Auswanderungspolitik : im neunzehnten Jahrhundert. Von Karl Rathgen – Einwanderung und Einwanderungsgesetzgebung in Nordamerika und Brasilien. Von Richmond Mayo-Smith - Rudolph A. Hehl. (Schriften des Vereins für Socialpolitik LXXII).</t>
  </si>
  <si>
    <t>Der Personalkredit des ländlichen Kleingrundbesitzes in Deutschland. : Berichte und Gutachten veröffentlicht vom Verein für Socialpolitik. Erster Band: Süddeutschland. (Schriften des Vereins für Socialpolitik LXXIII).</t>
  </si>
  <si>
    <t>Der Personalkredit des ländlichen Kleingrundbesitzes in Deutschland. : Berichte und Gutachten veröffentlicht vom Verein für Socialpolitik. Zweiter Band: Mittel- und Norddeutschland. (Schriften des Vereins für Socialpolitik LXXIV).</t>
  </si>
  <si>
    <t>Der Personalkredit des ländlichen Kleingrundbesitzes in Österreich. : Berichte und Gutachten veröffentlicht vom Verein für Socialpolitik. (Schriften des Vereins für Socialpolitik LXXV).</t>
  </si>
  <si>
    <t>Verhandlungen der am 23., 24. und 25. September 1897 in Köln a. Rh. abgehaltenen Generalversammlung des Vereins für Socialpolitik über die Handwerkerfrage, den ländlichen Personalkredit : und die Handhabung des Vereins- und Koalitionsrechts der Arbeiter im Deutschen Reiche. Auf Grund der stenographischen Niederschrift hrsg. vom Ständigen Ausschuß. (Schriften des Vereins für Socialpolitik LXXVI).</t>
  </si>
  <si>
    <t>Untersuchungen über die Lage des Hausiergewerbes in Deutschland. : Erster Band. (Schriften des Vereins für Socialpolitik LXXVII).</t>
  </si>
  <si>
    <t>Untersuchungen über die Lage des Hausiergewerbes in Deutschland. : Zweiter Band: Westerwälder Hausierer und Landgänger. Von Johann Plenge. (Schriften des Vereins für Socialpolitik LXXVIII).</t>
  </si>
  <si>
    <t>Untersuchungen über die Lage des Hausiergewerbes in Deutschland. : Dritter Band. (Schriften des Vereins für Socialpolitik LXXIX).</t>
  </si>
  <si>
    <t>Untersuchungen über die Lage des Hausiergewerbes in Deutschland. : Vierter Band. (Schriften des Vereins für Socialpolitik LXXX).</t>
  </si>
  <si>
    <t>Untersuchungen über die Lage des Hausiergewerbes in Deutschland. : Fünfter Band. Mit einem Sachregister über die Bände 77–81. (Schriften des Vereins für Socialpolitik LXXXI).</t>
  </si>
  <si>
    <t>Untersuchungen über die Lage des Hausiergewerbes in Österreich. : (Schriften des Vereins für Socialpolitik LXXXII).</t>
  </si>
  <si>
    <t>Untersuchungen über die Lage des Hausiergewerbes in Schweden, Italien, Großbritannien und der Schweiz. : (Schriften des Vereins für Socialpolitik LXXXIII).</t>
  </si>
  <si>
    <t>Hausindustrie und Heimarbeit in Deutschland und Österreich. : Erster Band: Süddeutschland und Schlesien. (Schriften des Vereins für Socialpolitik LXXXIV).</t>
  </si>
  <si>
    <t>Hausindustrie und Heimarbeit in Deutschland und Österreich. : Dritter Band: Mittel- und Westdeutschland – Österreich. (Schriften des Vereins für Socialpolitik LXXXVI).</t>
  </si>
  <si>
    <t>Hausindustrie und Heimarbeit in Deutschland und Österreich. : Zweiter Band: Die Hausindustrie der Frauen in Berlin. (Schriften des Vereins für Socialpolitik LXXXV).</t>
  </si>
  <si>
    <t>Hausindustrie und Heimarbeit in Deutschland und Österreich. : Vierter Band: Gesetzgebung, Statistik und Übersichten. (Schriften des Vereins für Socialpolitik LXXXVII).</t>
  </si>
  <si>
    <t>Verhandlungen der am 25., 26. und 27. September 1899 in Breslau abgehaltenen Generalversammlung des Vereins für Socialpolitik über die Hausindustrie und ihre gesetzliche Regelung, die Lage des Hausiergewerbes : und die Entwicklungstendenzen im modernen Kleinhandel. Auf Grund der stenographischen Niederschrift hrsg. vom Ständigen Ausschuß. (Schriften des Vereins für Socialpolitik LXXXVIII).</t>
  </si>
  <si>
    <t>Eisenbahntarife und Wasserfrachten. : Studien zur Frage der Gebührenerhebung auf Binnenwasserstraßen. Im Auftrage des Vereins für Socialpolitik hrsg. und eingel. von Walther Lotz. (Schriften des Vereins für Socialpolitik LXXXIX).</t>
  </si>
  <si>
    <t>Beiträge zur neuesten Handelspolitik Deutschlands. : Zweiter Band. Hrsg. vom Verein für Socialpolitik. (Schriften des Vereins für Socialpolitik XCI).</t>
  </si>
  <si>
    <t>Beiträge zur neuesten Handelspolitik Deutschlands. : Erster Band. Hrsg. vom Verein für Socialpolitik. (Schriften des Vereins für Socialpolitik XC).</t>
  </si>
  <si>
    <t>Beiträge zur neuesten Handelspolitik Deutschlands. : Dritter Band. Hrsg. vom Verein für Socialpolitik. (Schriften des Vereins für Socialpolitik XCII).</t>
  </si>
  <si>
    <t>Beiträge zur neuesten Handelspolitik Österreichs. : Hrsg. vom Verein für Socialpolitik. (Schriften des Vereins für Socialpolitik XCIII).</t>
  </si>
  <si>
    <t>Neue Untersuchungen über die Wohnungsfrage in Deutschland und im Ausland. : Erster Band: Deutschland und Österreich. Erste Abteilung. Hrsg. vom Verein für Socialpolitik. (Schriften des Vereins für Socialpolitik XCIV).</t>
  </si>
  <si>
    <t>Neue Untersuchungen über die Wohnungsfrage in Deutschland und im Ausland. : Erster Band: Deutschland und Österreich. Zweite Abteilung. Hrsg. vom Verein für Socialpolitik. (Schriften des Vereins für Socialpolitik XCV).</t>
  </si>
  <si>
    <t>Neue Untersuchungen über die Wohnungsfrage in Deutschland und im Ausland. : Dritter Band: Schweiz, England, Frankreich, Belgien, Vereinigte Staaten, Rußland, Norwegen, Schweden, Dänemark. Hrsg. vom Verein für Socialpolitik. (Schriften des Vereins für Socialpolitik XCVII).</t>
  </si>
  <si>
    <t>Neue Untersuchungen über die Wohnungsfrage in Deutschland und im Ausland. : Zweiter Band: Deutschland und Österreich. Hrsg. vom Verein für Socialpolitik. (Schriften des Vereins für Socialpolitik XCVI).</t>
  </si>
  <si>
    <t>Verhandlungen des Vereins für Socialpolitik über die Wohnungsfrage und die Handelspolitik. : (Verhandlungen der Generalversammlung in München, 23., 24. und 25. September 1901. Auf Grund der stenographischen Niederschrift hrsg. vom Ständigen Ausschuß.) (Schriften des Vereins für Socialpolitik XCVIII).</t>
  </si>
  <si>
    <t>Die Schiffahrt der deutschen Ströme. : Untersuchungen über deren Abgabenwesen, Regulierungskosten und Verkehrsverhältnisse. Erster Band. Vom Verein für Socialpolitik herausgegeben. (Schriften des Vereins für Socialpolitik C).</t>
  </si>
  <si>
    <t>Untersuchungen über die Lage der Angestellten und Arbeiter in den Verkehrsgewerben. : Hrsg. vom Verein für Socialpolitik. (Schriften des Vereins für Socialpolitik XCIX).</t>
  </si>
  <si>
    <t>Die Schiffahrt der deutschen Ströme. : Untersuchungen über deren Abgabenwesen, Regulierungskosten und Verkehrsverhältnisse. Zweiter Band: Geschichtliche Entwicklung der Rheinschiffahrt im XIX. Jahrhundert. Im Auftr. des Ver. für Socialpolitik hrsg. (Schriften des Vereins für Socialpolitik CI).</t>
  </si>
  <si>
    <t>Die Schiffahrt der deutschen Ströme. : Untersuchungen über deren Abgabenwesen, Regulierungskosten und Verkehrsverhältnisse. Dritter Band. Im Auftrage des Vereins für Socialpolitik herausgegeben. (Schriften des Vereins für Socialpolitik CII).</t>
  </si>
  <si>
    <t>Die wirtschaftliche und technische Entwicklung der Seeschiffahrt von der Mitte des 19. Jahrhunderts bis auf die Gegenwart. : Mit einer Vorbemerkung von Ernst Francke. (Die Lage der in der Seeschiffahrt beschäftigten Arbeiter. Erster Band). (Schriften des Vereins für Socialpolitik CIII).</t>
  </si>
  <si>
    <t>Die Lage der in der Seeschiffahrt beschäftigten Arbeiter. : Zweiter Band, erste Abteilung. (Schriften des Vereins für Socialpolitik CIV-1).</t>
  </si>
  <si>
    <t>Die Lage der in der Seeschiffahrt beschäftigten Arbeiter. : Zweiter Band, zweite Abteilung: Die Lage der in der Seeschiffahrt beschäftigten Arbeiter in Österreich. (Schriften des Vereins für Socialpolitik CIV-2).</t>
  </si>
  <si>
    <t>Die Störungen im deutschen Wirtschaftsleben während der Jahre 1900 ff. : Zweiter Band: Montan- und Eisenindustrie. Vom Verein für Socialpolitik herausgegeben. (Schriften des Vereins für Socialpolitik CVI).</t>
  </si>
  <si>
    <t>Die Störungen im deutschen Wirtschaftsleben während der Jahre 1900 ff. : Erster Band: Textilindustrie. Vom Verein für Socialpolitik herausgegeben. (Schriften des Vereins für Socialpolitik CV).</t>
  </si>
  <si>
    <t>Die Störungen im deutschen Wirtschaftsleben während der Jahre 1900 ff. : Dritter Band: Maschinenindustrie – Elektrotechnische Industrie – Schiffsbaugewerbe – Papierindustrie. Vom Verein für Socialpolitik herausgegeben. (Schriften des Vereins für Socialpolitik CVII).</t>
  </si>
  <si>
    <t>Die Störungen im deutschen Wirtschaftsleben während der Jahre 1900 ff. : Vierter Band: Verkehrsgewerbe. Vom Verein für Socialpolitik herausgegeben. (Schriften des Vereins für Socialpolitik CVIII).</t>
  </si>
  <si>
    <t>Die Störungen im deutschen Wirtschaftsleben während der Jahre 1900 ff. : Fünfter Band: Die Krisis auf dem Arbeitsmarkte. Vom Verein für Socialpolitik herausgegeben. (Schriften des Vereins für Socialpolitik CIX).</t>
  </si>
  <si>
    <t>Die Störungen im deutschen Wirtschaftsleben während der Jahre 1900 ff. : Siebenter Band: Hypothekenbanken – Immobiliarverhältnisse – Baugewerbe. Vom Verein für Socialpolitik herausgegeben. (Schriften des Vereins für Socialpolitik CXI).</t>
  </si>
  <si>
    <t>Verhandlungen des Vereins für Socialpolitik über die Lage der in der Seeschiffahrt beschäftigten Arbeiter und über die Störungen im deutschen Wirtschaftsleben während der Jahre 1900 ff. : (Verhandlungen der Generalversammlung in Hamburg, 14., 15. und 16. September 1903. Auf Grund der stenographischen Niederschrift hrsg. vom Ständigen Ausschuß.) (Schriften des Vereins für Socialpolitik CXIII).</t>
  </si>
  <si>
    <t>Schiffahrtsabgaben. : Erster Teil: Die Rechtslage. Im Auftrag des Vereins für Socialpolitik herausgegeben. (Schriften des Vereins für Socialpolitik CXV-1).</t>
  </si>
  <si>
    <t>Schiffahrtsabgaben. : Zweiter Teil: Die wirtschaftliche Lage. – Dritter Teil: Die verkehrspolitische Lage. Im Auftrag des Vereins für Socialpolitik herausgegeben. (Schriften des Vereins für Socialpolitik CXV-2+3).</t>
  </si>
  <si>
    <t>Verhandlungen des Vereins für Socialpolitik über die finanzielle Behandlung der Binnenwasserstraßen, über das Arbeitsverhältnis in den privaten Riesenbetrieben und das Verhältnis der Kartelle zum Staate. : (Verhandlungen der Generalversammlung in Mannheim, 25., 26. und 27. September 1905. Auf Grund der stenographischen Niederschrift hrsg. vom Ständigen Ausschuß.) (Schriften des Vereins für Socialpolitik 116).</t>
  </si>
  <si>
    <t>Verfassung und Verwaltungsorganisation der Städte. : Erster Band: Königreich Preußen. Erster Band. Im Auftrag des Vereins für Socialpolitik herausgegeben. (Schriften des Vereins für Socialpolitik 117).</t>
  </si>
  <si>
    <t>Verfassung und Verwaltungsorganisation der Städte. : Zweiter Band: Königreich Preußen. Zweiter Band. Im Auftrag des Vereins für Socialpolitik herausgegeben. (Schriften des Vereins für Socialpolitik 118).</t>
  </si>
  <si>
    <t>Preußische Städte im Gebiete des polnischen Nationalitätenkampfes. : Verfassung und Verwaltungsorganisation der Städte. Dritter Band: Königreich Preußen. Dritter Band, erster Teil. (Schriften des Vereins für Socialpolitik 119-I).</t>
  </si>
  <si>
    <t>Die Stadt Posen unter preußischer Herrschaft. : Ein Beitrag zur Geschichte des deutschen Ostens. Verfassung und Verwaltungsorganisation der Städte. III. Band: Königreich Preußen. III. Band, 2. Teil. Im Auftrag des Vereins für Socialpolitik hrsg. (Schriften des Vereins für Socialpolitik 119-II).</t>
  </si>
  <si>
    <t>Verfassung und Verwaltungsorganisation der Städte. : Vierter Band, erstes Heft: Königreich Sachsen. Im Auftrag des Vereins für Socialpolitik herausgegeben. (Schriften des Vereins für Socialpolitik 120-I).</t>
  </si>
  <si>
    <t>Verfassung und Verwaltungsorganisation der Städte. : Vierter Band, zweites Heft: Königreich Württemberg. Im Auftrag des Vereins für Socialpolitik herausgegeben. (Schriften des Vereins für Socialpolitik 120-II).</t>
  </si>
  <si>
    <t>Verfassung und Verwaltungsorganisation der Städte. : Vierter Band, drittes Heft: Großherzogtum Baden. Im Auftrag des Vereins für Socialpolitik herausgegeben. (Schriften des Vereins für Socialpolitik 120-III).</t>
  </si>
  <si>
    <t>Verfassung und Verwaltungsorganisation der Städte. : Vierter Band, viertes Heft: Königreich Bayern. Im Auftrag des Vereins für Socialpolitik herausgegeben. (Schriften des Vereins für Socialpolitik 120-IV).</t>
  </si>
  <si>
    <t>Verfassung und Verwaltungsorganisation der Städte. : Vierter Band, fünftes Heft: Die Hansestädte. Im Auftrag des Vereins für Socialpolitik herausgegeben. (Schriften des Vereins für Socialpolitik 120-V).</t>
  </si>
  <si>
    <t>Verfassung und Verwaltungsorganisation der Städte. : Sechster Band: Österreich. Im Auftrag des Vereins für Socialpolitik herausgegeben. (Schriften des Vereins für Socialpolitik 122).</t>
  </si>
  <si>
    <t>Verfassung und Verwaltungsorganisation der Städte. : Fünfter Band: Die Schweiz. Im Auftrag des Vereins für Socialpolitik herausgegeben. (Schriften des Vereins für Socialpolitik 121).</t>
  </si>
  <si>
    <t>Verfassung und Verwaltungsorganisation der Städte. : Siebenter Band: England – Frankreich – Nordamerika. Im Auftrag des Vereins für Socialpolitik herausgegeben. (Schriften des Vereins für Socialpolitik 123).</t>
  </si>
  <si>
    <t>Die Deutschen Arbeitgeber-Verbände. : Im Auftrage des Vereins für Socialpolitik herausgegeben. (Schriften des Vereins für Socialpolitik 124).</t>
  </si>
  <si>
    <t>Verhandlungen des Vereins für Socialpolitik über die berufsmäßige Vorbildung der volkswirtschaftlichen Beamten und über Verfassung und Verwaltungsorganisation der Städte. : Als Anhang: Nachtrag zu Band 120-II. (Verhandlungen der Generalversammlung in Magdeburg, 30. September, 1. und 2. Oktober 1907. Auf Grund der stenographischen Niederschrift hrsg. vom Ständigen Ausschuß.) (Schriften des Vereins für Socialpolitik 125).</t>
  </si>
  <si>
    <t>Gemeindefinanzen. : Erster Band: System der Gemeindebesteuerung in Hessen, Württemberg, Baden, Elsaß-Lothringen, Bayern, Sachsen, Preußen. Im Auftrag des Vereins für Socialpolitik herausgegeben. (Schriften des Vereins für Socialpolitik 126).</t>
  </si>
  <si>
    <t>Gemeindefinanzen. : Zweiter Band, erster Teil: Einzelfragen der Finanzpolitik der Gemeinden. Im Auftrag des Vereins für Socialpolitik herausgegeben. (Schriften des Vereins für Socialpolitik 127-I).</t>
  </si>
  <si>
    <t>Gemeindefinanzen. : Zweiter Band, dritter Teil: Die Entwicklung und die Probleme des Gemeindeabgabenwesens in den Städten und großen Landgemeinden der preußischen Industriebetriebe. Im Auftr. des Ver. für Socialpolitik hrsg. (Schriften des Vereins für Socialpolitik 127-III).</t>
  </si>
  <si>
    <t>Gemeindefinanzen. : Zweiter Band, zweiter Teil: Die Gemeindefinanzstatistik in Deutschland. Ziele, Wege, Ergebnisse. Im Auftrag des Vereins für Socialpolitik herausgegeben. (Schriften des Vereins für Socialpolitik 127-II).</t>
  </si>
  <si>
    <t>Gemeindebetriebe. : Neuere Versuche und Erfahrungen über die Ausdehnung der kommunalen Tätigkeit in Deutschland und im Ausland. Erster Band. (Schriften des Vereins für Socialpolitik 128).</t>
  </si>
  <si>
    <t>Die Gemeindebetriebe Münchens. : Gemeindebetriebe – Neuere Versuche und Erfahrungen über die Ausdehnung der kommunalen Tätigkeit in Deutschland und im Ausland. II. Band, 1. Teil. Im Auftr. des Ver. für Socialpol. hrsg. von Carl J. Fuchs. (Schriften des Vereins für Socialpolitik 129-I).</t>
  </si>
  <si>
    <t>Die Gemeindebetriebe der Stadt Düsseldorf. : Gemeindebetriebe – Neuere Versuche und Erfahrungen über die Ausdehnung der kommunalen Tätigkeit in Deutschland und im Ausland. II. Band, 2. Teil. Im Auftr. des Ver. für Socialpol. hrsg. von Carl J. Fuchs. (Schriften des Vereins für Socialpolitik 129-II).</t>
  </si>
  <si>
    <t>Die Gemeindebetriebe der Städte Magdeburg, Naumburg a.S., Frankfurt a.M. : Gemeindebetriebe – Neuere Versuche und Erfahrungen über die Ausdehnung der kommunalen Tätigkeit in Deutschland und im Ausland. Zweiter Band, dritter Teil. (Schriften des Vereins für Socialpolitik 129-III).</t>
  </si>
  <si>
    <t>Die Gemeindebetriebe Mannheims. : Gemeindebetriebe – Neuere Versuche und Erfahrungen über die Ausdehnung der kommunalen Tätigkeit in Deutschland und im Ausland. II. Band, 4. Teil. Im Auftr. des Ver. für Socialpol. hrsg. von Carl J. Fuchs. (Schriften des Vereins für Socialpolitik 129-IV).</t>
  </si>
  <si>
    <t>Die Gemeindebetriebe der Stadt Freiburg im Breisgau. : Gemeindebetriebe – Neuere Versuche und Erfahrungen über die Ausdehnung der kommunalen Tätigkeit in Deutschland und im Ausland. II. Band, 5. Teil. Im Auftr. des Ver. für Socialpol. hrsg. von Carl J. Fuchs. (Schriften des Vereins für Socialpolitik 129-V).</t>
  </si>
  <si>
    <t>Die Gemeindebetriebe der Stadt Remscheid. : Gemeindebetriebe – Neuere Versuche und Erfahrungen über die Ausdehnung der kommunalen Tätigkeit in Deutschland und im Ausland. II. Band, 6. Teil. Im Auftr. des Ver. für Socialpol. hrsg. von Carl J. Fuchs. (Schriften des Vereins für Socialpolitik 129-VI).</t>
  </si>
  <si>
    <t>Die Gemeindebetriebe der Stadt Leipzig. : Gemeindebetriebe – Neuere Versuche und Erfahrungen über die Ausdehnung der kommunalen Tätigkeit in Deutschland und im Ausland. II. Band, 7. Teil. Im Auftr. des Ver. für Socialpol. hrsg. von Carl J. Fuchs. (Schriften des Vereins für Socialpolitik 129-VII).</t>
  </si>
  <si>
    <t>Die Gemeindebetriebe der Stadt Halle a.S. : Gemeindebetriebe – Neuere Versuche und Erfahrungen über die Ausdehnung der kommunalen Tätigkeit in Deutschland und im Ausland. Zweiter Band, achter Teil. (Schriften des Vereins für Socialpolitik 129-VIII).</t>
  </si>
  <si>
    <t>Die Gemeindebetriebe der Stadt Königsberg i.Pr. : Gemeindebetriebe – Neuere Versuche und Erfahrungen über die Ausdehnung der kommunalen Tätigkeit in Deutschland und im Ausland. II. Band, 9. Teil. Im Auftr. des Ver. für Socialpol. hrsg. von Carl J. Fuchs. (Schriften des Vereins für Socialpolitik 129-IX).</t>
  </si>
  <si>
    <t>Die Gemeindebetriebe in den Städten, Kreisen und Landgemeinden des Oberschlesischen Industriebezirks. : Gemeindebetriebe – Neuere Versuche und Erfahrungen über die Ausdehnung der kommunalen Tätigkeit in Deutschland und im Ausland. II. Band, 10. Teil. Im Auftr. des Ver. für Socialpol. hrsg. von Carl J. Fuchs. (Schriften des Vereins für Socialpolitik 129-X)</t>
  </si>
  <si>
    <t>Die Gemeindebetriebe in Österreich. : Gemeindebetriebe – Neuere Versuche und Erfahrungen über die Ausdehnung der kommunalen Tätigkeit in Deutschland und im Ausland. III. Band, 1. Teil. (Schriften des Vereins für Socialpolitik 130-I).</t>
  </si>
  <si>
    <t>Geschichte der modernen Gemeindebetriebe in Italien. : Gemeindebetriebe – Neuere Versuche und Erfahrungen über die Ausdehnung der kommunalen Tätigkeit in Deutschland und im Ausland. III. Band, 2. Teil. Im Auftr. des Ver. für Socialpol. hrsg. von Carl J. Fuchs. (Schriften des Vereins für Socialpolitik 130-II).</t>
  </si>
  <si>
    <t>Gemeindebetriebe in der Schweiz, in Belgien und in Australien. : Gemeindebetriebe – Neuere Versuche und Erfahrungen über die Ausdehnung der kommunalen Tätigkeit in Deutschland und im Ausland. Dritter Band, dritter Teil. (Schriften des Vereins für Socialpolitik 130-III).</t>
  </si>
  <si>
    <t>Gemeindebetriebe in Frankreich und England. : Gemeindebetriebe – Neuere Versuche und Erfahrungen über die Ausdehnung der kommunalen Tätigkeit in Deutschland und im Ausland. Dritter Band, vierter Teil. (Schriften des Vereins für Socialpolitik 130-IV).</t>
  </si>
  <si>
    <t>Die Gemeindebetriebe in Ungarn. : Gemeindebetriebe – Neuere Versuche und Erfahrungen über die Ausdehnung der kommunalen Tätigkeit in Deutschland und im Ausland. III. Band, 5. Teil. Im Auftr. des Ver. für Socialpol. hrsg. von Carl J. Fuchs. (Schriften des Vereins für Socialpolitik 130-V).</t>
  </si>
  <si>
    <t>Auswanderung und Auswanderungspolitik in Österreich. : Im Auftrag des Vereins für Socialpolitik herausgegeben. (Schriften des Vereins für Socialpolitik 131).</t>
  </si>
  <si>
    <t>Auslese und Anpassung der Arbeiterschaft der geschlossenen Großindustrie. Dargestellt an den Verhältnissen der "Gladbacher Spinnerei und Weberei" A.-G. zu München-Gladbach im Rheinland. : Untersuchungen über Auslese und Anpassung (Berufswahl und Berufsschicksal) der Arbeiter in den verschiedenen Zweigen der Großindustrie. Erster Band. (Schriften des Vereins für Socialpolitik 133).</t>
  </si>
  <si>
    <t>Auslese und Anpassung der Arbeiterschaft in der Elektroindustrie, Buchdruckerei, Feinmechanik und Maschinenindustrie. : Untersuchungen über Auslese und Anpassung (Berufswahl und Berufsschicksal) der Arbeiter in den verschiedenen Zweigen der Großindustrie. Zweiter Band. (Schriften des Vereins für Sozialpolitik 134).</t>
  </si>
  <si>
    <t>Auslese und Anpassung der Arbeiterschaft in der Automobilindustrie und einer Wiener Maschinenfabrik. : Untersuchungen über Auslese und Anpassung (Berufswahl und Berufsschicksal) der Arbeiter in den verschiedenen Zweigen der Großindustrie. Dritter Band, erster Teil. (Schriften des Vereins für Sozialpolitik 135-I).</t>
  </si>
  <si>
    <t>Das Leben der jungen Fabrikmädchen in München. Die soziale und wirtschaftliche Lage ihrer Familie, ihr Berufsleben und ihre persönlichen Verhältnisse. Nach statistischen Erhebungen dargestellt an der Lage von 270 Fabrikarbeiterinnen : im Alter von 14 bis 18 Jahren. Untersuchungen über Auslese und Anpassung (Berufswahl und Berufsschicksal) der Arbeiter in den verschiedenen Zweigen der Großindustrie. Dritter Band, zweiter Teil. (Schriften des Vereins für Sozialpolitik 135-II).</t>
  </si>
  <si>
    <t>Auslese und Anpassung der Arbeiterschaft in der Lederwaren-, Steinzeug- und Textilindustrie. : Untersuchungen über Auslese und Anpassung (Berufswahl und Berufsschicksal) der Arbeiter in den verschiedenen Zweigen der Großindustrie. Dritter Band, dritter Teil. (Schriften des Vereins für Socialpolitik 135-III).</t>
  </si>
  <si>
    <t>Auslese und Anpassung der Arbeiterschaft der geschlossenen Großindustrie. Dargestellt an den Verhältnissen einer Luckenwalder Wollhutfabrik. : Untersuchungen über Auslese und Anpassung (Berufswahl und Berufsschicksal) der Arbeiter in den verschiedenen Zweigen der Großindustrie. Dritter Band, vierter Teil. (Schriften des Vereins für Sozialpolitik 135-IV).</t>
  </si>
  <si>
    <t>Untersuchungen über das Volkssparwesen. : Erster Band. Hrsg. vom Verein für Sozialpolitik. (Schriften des Vereins für Sozialpolitik 136).</t>
  </si>
  <si>
    <t>Untersuchungen über das Volkssparwesen. : Zweiter Band. Hrsg. vom Verein für Sozialpolitik. (Schriften des Vereins für Sozialpolitik 137-I).</t>
  </si>
  <si>
    <t>Untersuchungen über das Volkssparwesen. : Dritter Band. Hrsg. vom Verein für Sozialpolitik. (Schriften des Vereins für Sozialpolitik 137-II).</t>
  </si>
  <si>
    <t>Untersuchungen über das Volkssparwesen. : Vierter Band. Hrsg. vom Verein für Sozialpolitik. (Schriften des Vereins für Sozialpolitik 137-III).</t>
  </si>
  <si>
    <t>Untersuchungen über das Versicherungswesen in Deutschland. : Hrsg. vom Verein für Sozialpolitik. (Schriften des Vereins für Sozialpolitik 137-IV).</t>
  </si>
  <si>
    <t>Verhandlungen des Vereins für Sozialpolitik in Nürnberg 1911. I. Fragen der Gemeindebesteuerung – II. Probleme der Arbeiterpsychologie. : (Verhandlungen der Generalversammlung in Nürnberg, 9. und 10. Oktober 1911. Auf Grund der stenograph. Niederschrift hrsg. vom Ständigen Ausschuß.) (Schriften des Vereins für Sozialpolitik 138).</t>
  </si>
  <si>
    <t>Die Verteuerung der Lebensmittel in Berlin im Laufe der letzten 30 Jahre und ihre Bedeutung für den Berliner Arbeiterhaushalt. : Untersuchungen über Preisbildung. Abteilung A: Preisbildung für agrarische Erzeugnisse. Zweiter Teil. Hrsg. von Max Sering. (Schriften des Vereins für Sozialpolitik 139-II).</t>
  </si>
  <si>
    <t>Die Bewegung der Weizenpreise und ihre Ursachen. : Untersuchungen über Preisbildung. Abteilung A: Preisbildung für agrarische Erzeugnisse. Dritter Teil. Hrsg. von Max Sering. (Schriften des Vereins für Sozialpolitik 139-III).</t>
  </si>
  <si>
    <t>Die Fleischversorgung der Stadt München. : Untersuchungen über Preisbildung. Abteilung A: Preisbildung für agrarische Erzeugnisse. Gebiete der intensiven Landwirtschaft. Fünfter Teil. Hrsg. von Max Sering. (Schriften des Vereins für Sozialpolitik 139-V).</t>
  </si>
  <si>
    <t>Die Milchversorgung der Stadt Karlsruhe unter besonderer Berücksichtigung der Produktions- und Preisverhältnisse. : Milchwirtschaftliche Erzeugnisse. Erster Teil. Hrsg. von Philipp Arnold - Max Sering. (Schriften des Vereins für Sozialpolitik 140-I).</t>
  </si>
  <si>
    <t>Die Milchversorgung norddeutscher Städte und Industriegebiete. : Milchwirtschaftliche Erzeugnisse. Zweiter Teil. (Schriften des Vereins für Sozialpolitik 140-II).</t>
  </si>
  <si>
    <t>Produktion, Absatz, Preisbildung von Molkereierzeugnissen. : Untersuchungen über Preisbildung. Abteilung A: Preisbildung bei agrarischen Erzeugnissen. Milchwirtschaftliche Erzeugnisse. Dritter Teil. (Schriften des Vereins für Sozialpolitik 140-III).</t>
  </si>
  <si>
    <t>Die Milchversorgung in Württemberg. : Milchwirtschaftliche Erzeugnisse. Vierter Teil. Hrsg. von Philipp Arnold - Max Sering. (Schriften des Vereins für Sozialpolitik 140-IV).</t>
  </si>
  <si>
    <t>Die gemeinnützige Milchversorgung in Deutschland. : Untersuchungen über Preisbildung. Abteilung A: Preisbildung bei agrarischen Erzeugnissen. Milchwirtschaftliche Erzeugnisse. Fünfter Teil. (Schriften des Vereins für Sozialpolitik 140-V).</t>
  </si>
  <si>
    <t>Die landwirtschaftlichen Produktionsverhältnisse Argentiniens. : Untersuchungen über Preisbildung. Abteilung A: Preisbildung für agrarische Erzeugnisse. Die Exportgebiete der extensiven Landwirtschaft. Erster Teil. Hrsg. von Max Sering. (Schriften des Vereins für Sozialpolitik 141-I).</t>
  </si>
  <si>
    <t>Die Entwicklung der Landwirtschaft in den Vereinigten Staaten von Nordamerika und ihr Einfluß auf die Preisbildung landwirtschaftlicher Erzeugnisse. : Untersuchungen über Preisbildung. Abteilung A: Preisbildung für agrarische Erzeugnisse. Die Exportgebiete der extensiven Landwirtschaft. Zweiter Teil. Hrsg. von Max Sering. (Schriften des Vereins für Sozialpolitik 141-II).</t>
  </si>
  <si>
    <t>Untersuchungen über Preisbildung. : Abteilung B: Preisbildung für gewerbliche Erzeugnisse. Erster Teil. (Schriften des Vereins für Sozialpolitik 142-I).</t>
  </si>
  <si>
    <t>Untersuchungen über Preisbildung. : Abteilung B. Zweiter Teil: Die Preisgestaltung im Druckereigewerbe. (Schriften des Vereins für Sozialpolitik 142-II).</t>
  </si>
  <si>
    <t>Preisbildung für gewerbliche Erzeugnisse. : Untersuchungen über Preisbildung. Abteilung B. Dritter Teil. (Schriften des Vereins für Sozialpolitik 142-III).</t>
  </si>
  <si>
    <t>Die Preisentwicklung der Baumwolle und Baumwollfabrikate. : Untersuchungen über Preisbildung. Abteilung B: Preisbildung für gewerbliche Erzeugnisse. Vierter Teil. Hrsg. von Franz Eulenburg. (Schriften des Vereins für Sozialpolitik 142-IV).</t>
  </si>
  <si>
    <t>Die Preisentwicklung in der Steinkohlengasindustrie. : Untersuchungen über Preisbildung. Abteilung B: Preisbildung für gewerbliche Erzeugnisse. Fünfter Teil. Hrsg. von Franz Eulenburg. (Schriften des Vereins für Sozialpolitik 142-V).</t>
  </si>
  <si>
    <t>Preisbildung für gewerbliche Erzeugnisse. : Untersuchungen über Preisbildung. Abteilung B. Sechster Teil. (Schriften des Vereins für Sozialpolitik 143-I).</t>
  </si>
  <si>
    <t>Steinkohlenpreise und Dampfkraftkosten. : Untersuchungen über Preisbildung. Abteilung B: Preisbildung für gewerbliche Erzeugnisse. Zweiter Teil. Hrsg. von Franz Eulenburg. (Schriften des Vereins für Sozialpolitik 143-II).</t>
  </si>
  <si>
    <t>Die Preisbewegung elektrischer Arbeit seit 1898. : Untersuchungen über Preisbildung. Abteilung B: Preisbildung für gewerbliche Erzeugnisse. Dritter Teil. Hrsg. von Franz Eulenburg. (Schriften des Vereins für Sozialpolitik 143-III).</t>
  </si>
  <si>
    <t>Preisbildung gewerblicher Erzeugnisse in Belgien. : Untersuchungen über Preisbildung. Abteilung B: Untersuchungen über Preisbildung gewerblicher Erzeugnisse. Ausland. Erster Teil: Belgien. (Schriften des Vereins für Sozialpolitik 144-I).</t>
  </si>
  <si>
    <t>Kosten der Lebenshaltung in deutschen Großstädten. : I. Ost- und Norddeutschland. Untersuchungen über Preisbildung. Abteilung C: Kosten der Lebenshaltung. Erster Teil. (Schriften des Vereins für Sozialpolitik 145-I).</t>
  </si>
  <si>
    <t>Kosten der Lebenshaltung in deutschen Großstädten. : II. West- und Süddeutschland. Untersuchungen über Preisbildung. Abteilung C: Kosten der Lebenshaltung. Zweiter Teil. (Schriften des Vereins für Sozialpolitik 145-II).</t>
  </si>
  <si>
    <t>Löhne und Lebenskosten in Westeuropa im 19. Jahrhundert. : (Frankreich, England, Spanien, Belgien). Nebst einem Anhang: Lebenskosten deutscher und westeuropäischer Arbeiter früher und jetzt. (Schriften des Vereins für Sozialpolitik 145-III).</t>
  </si>
  <si>
    <t>Die Ansiedlung von Europäern in den Tropen. : Zweiter Teil: Mittelamerika, Kleine Antillen, Niederländisch West- und Ostindien. (Schriften des Vereins für Sozialpolitik 147-II).</t>
  </si>
  <si>
    <t>Kosten der Lebenshaltung in deutschen Großstädten. : I. Ost- und Norddeutschland. Zweite Hälfte. Untersuchungen über Preisbildung. Abteilung C: Kosten der Lebenshaltung. Vierter Teil. (Schriften des Vereins für Sozialpolitik 145-IV).</t>
  </si>
  <si>
    <t>Die Ansiedlung von Europäern in den Tropen. : Dritter Teil: Natal, Rhodesien, Britisch-Ostafrika. (Schriften des Vereins für Sozialpolitik 147-III).</t>
  </si>
  <si>
    <t>Britisch-Kassraria und seine deutschen Siedlungen. : Die Ansiedlung von Europäern in den Tropen. Vierter Teil. (Schriften des Vereins für Sozialpolitik 147-IV).</t>
  </si>
  <si>
    <t>Die deutschen Kolonisten im brasilianischen Staate Espirito Santo. : Die Ansiedlung von Europäern in den Tropen. Fünfter Teil. (Schriften des Vereins für Sozialpolitik 147-V).</t>
  </si>
  <si>
    <t>Preisbewegung landwirtschaftlicher Güter in einigen Teilen Bayerns während der Jahre 1900 bis 1910. : Erster Teil. Mit einer Einleitung von Lujo Brentano. (Schriften des Vereins für Sozialpolitik 148).</t>
  </si>
  <si>
    <t>Die Konsumvereinsbewegung in Großbritannien. : Untersuchungen über Konsumvereine. Hrsg. von Hugo Thiel - Robert Wilbrandt. Die Konsumvereinsbewegung in den einzelnen Ländern. Erster Teil. (Schriften des Vereins für Sozialpolitik 150-I).</t>
  </si>
  <si>
    <t>Der Einfluß der Golderzeugung auf die Preisbildung 1890–1913. : Erster Teil: Die allgemeine Preisbewegung 1890–1913. Von Wilhelm Gehlhoff. (Schriften des Vereins für Sozialpolitik 149-I).</t>
  </si>
  <si>
    <t>Die Konsumvereine in Rußland. : Mit einem Geleitwort von Robert Wilbrandt. Untersuchungen über Konsumvereine. Hrsg. von Carl Johannes Fuchs - Robert Wilbrandt. Die Konsumvereinsbewegung in den einzelnen Ländern. Zweiter Teil. (Schriften des Vereins für Sozialpolitik 150-II).</t>
  </si>
  <si>
    <t>Die Konsumvereine in Holland, Japan, Österreich und der Schweiz. : Untersuchungen über Konsumvereine. Hrsg. von Carl Johannes Fuchs - Robert Wilbrandt. Die Konsumvereinsbewegung in den einzelnen Ländern. Dritter Teil. (Schriften des Vereins für Sozialpolitik 150-III).</t>
  </si>
  <si>
    <t>Die Konsumvereinsbewegung in Deutschland. : Untersuchungen über Konsumvereine. Hrsg. von Carl Johannes Fuchs - Robert Wilbrandt. Die Konsumvereinsbewegung in den einzelnen Ländern. Vierter Teil. (Schriften des Vereins für Sozialpolitik 150-IV).</t>
  </si>
  <si>
    <t>Die Konsumgenossenschaftsbewegung in Frankreich und in den Vereinigten Staaten von Amerika. – Der Internationale Genossenschaftsbund. : Mit einem Schlußwort von Robert Wilbrandt. Untersuchungen über Konsumvereine. Hrsg. von Carl Johannes Fuchs - Robert Wilbrandt. Die Konsumvereinsbewegung in den einzelnen Ländern. Fünfter Teil. (Schriften des Vereins für Sozialpolitik 150-V).</t>
  </si>
  <si>
    <t>Eduard Pfeiffer und die deutsche Konsumgenossenschaftsbewegung. : Untersuchungen über Konsumvereine. Hrsg. von Hugo Thiel - Robert Wilbrandt. Monographien aus dem Konsumvereinswesen. Erster Teil. (Schriften des Vereins für Sozialpolitik 151-I).</t>
  </si>
  <si>
    <t>Einkaufsvereinigungen auf dem Lande. : Untersuchungen über Konsumvereine. Hrsg. von Hugo Thiel - Robert Wilbrandt. Monographien aus dem Konsumvereinswesen. Zweiter Teil. (Schriften des Vereins für Sozialpolitik 151-II).</t>
  </si>
  <si>
    <t>Der Stand der Gesetzgebung über Erwerbs- und Wirtschaftsgenossenschaften in den wichtigsten Kulturländern bei Kriegsausbruch 1914. : Untersuchungen über Konsumvereine. Hrsg. von Hugo Thiel - Robert Wilbrandt. Monographien aus dem Konsumvereinswesen. Dritter Teil. (Schriften des Vereins für Sozialpolitik 151-III).</t>
  </si>
  <si>
    <t>Die geistigen Arbeiter. : Erster Teil: Freies Schriftstellertum und Literaturverlag. (Schriften des Vereins für Sozialpolitik 152-I).</t>
  </si>
  <si>
    <t>Auslese und Anpassung der Arbeiterschaft in der Schuhindustrie und einem oberschlesischen Walzwerke. : Untersuchungen über Auslese und Anpassung (Berufswahl und Berufsschicksal) der Arbeiter in den verschiedenen Zweigen der Großindustrie. Neue Folge. (Schriften des Vereins für Sozialpolitik 153).</t>
  </si>
  <si>
    <t>Die geistigen Arbeiter. : Zweiter Teil: Journalisten und bildende Künstler. (Schriften des Vereins für Sozialpolitik 152-II).</t>
  </si>
  <si>
    <t>Das Depositengeschäft der Berliner Großbanken. : Kapitalbildung und Kapitalverwendung. Hrsg. von Hermann Schumacher. Erster Teil. (Schriften des Vereins für Sozialpolitik 154-I).</t>
  </si>
  <si>
    <t>Die Hypothekenbanken. : Kapitalbildung und Kapitalverwendung. Hrsg. von Hermann Schumacher. Zweiter Teil. (Schriften des Vereins für Sozialpolitik 154-II).</t>
  </si>
  <si>
    <t>Die wirtschaftliche Annäherung zwischen dem Deutschen Reiche und seinen Verbündeten. : Erster Teil. (Schriften des Vereins für Sozialpolitik 155-I).</t>
  </si>
  <si>
    <t>Die wirtschaftliche Annäherung zwischen dem Deutschen Reiche und seinen Verbündeten. : Dritter Teil: Aussprache in der Sitzung des Ausschusses vom 6. April 1916 zu Berlin. (Schriften des Vereins für Sozialpolitik 155-III).</t>
  </si>
  <si>
    <t>Die wirtschaftliche Annäherung zwischen dem Deutschen Reiche und seinen Verbündeten. : Zweiter Teil. (Schriften des Vereins für Sozialpolitik 155-II).</t>
  </si>
  <si>
    <t>Die Neuordnung der deutschen Finanzwirtschaft. : Zweiter Teil. (Schriften des Vereins für Sozialpolitik 156-II).</t>
  </si>
  <si>
    <t>Die Neuordnung der deutschen Finanzwirtschaft. : Dritter Teil: Aussprache in der Sitzung des Ausschusses vom 17. April 1918 zu Berlin. (Schriften des Vereins für Sozialpolitik 156-III).</t>
  </si>
  <si>
    <t>Englische und preußische Steuerveranlagung. : Ein Vergleich des englischen mit dem preußischen System der Einkommensbesteuerung (Quellenprinzip contra Empfängerprinzip). Neue Beiträge zur Neuordnung der dt. Finanzwirtschaft II. Hrsg. v. H. Herkner. (Schriften des Vereins für Sozialpolitik 157-II).</t>
  </si>
  <si>
    <t>Verhandlungen des Vereins für Sozialpolitik in Regensburg 1919 zu den Wirtschaftsbeziehungen zwischen dem Deutschen Reiche und Deutsch-Österreich und zur Sozialisierungsfrage. : (Verhandlungen der Generalversammlung in Regensburg, 15. und 16. September 1919). Auf Grund der stenograph. Niederschrift hrsg. vom Vorstande. (Schriften des Vereins für Sozialpolitik 159).</t>
  </si>
  <si>
    <t>Die Reform der staatswissenschaftlichen Studien. : Fünfzig Gutachten. (Schriften des Vereins für Sozialpolitik 160).</t>
  </si>
  <si>
    <t>Verhandlungen des Vereins für Sozialpolitik in Kiel 1920. : Die Reform der staatswissenschaftlichen Studien, 2. Teil. (Verhandlungen der außerordentl. Generalversammlung in Kiel, 21. bis 23. September 1920). Auf Grund der stenograph. Niederschrift hrsg. vom Vorstande. (Schriften des Vereins für Sozialpolitik 161).</t>
  </si>
  <si>
    <t>Die geldtheoretische und geldrechtliche Seite des Stabilisierungsproblems. : Gutachten, hrsg. von Emil Lederer - Melchior Palyi, zweiter Teil. Deutsche Zahlungsbilanz und Stabilisierungsfrage, im Auftrage des Vereins veranstaltet von Karl Diehl - Felix Somary. (Schriften des Vereins für Sozialpolitik 164-II).</t>
  </si>
  <si>
    <t>Die Zukunft der Sozialpolitik – Die Not der geistigen Arbeiter. Jubiläumstagung des Vereins für Sozialpolitik in Eisenach 1922. : Mit Beiträgen zum 50jährigen Jubiläum des Vereins. (Verhandlungen der Generalversammlung in Eisenach, 20. und 21. September 1922). Auf Grund der stenograph. Niederschrift hrsg. vom Vorstand. (Schriften des Vereins für Sozialpolitik 163).</t>
  </si>
  <si>
    <t>Pläne und Versuche zur Währungssanierung. : Geschichte der Stabilisierungsversuche, hrsg. von Melchior Palyi, zweiter Teil. Deutsche Zahlungsbilanz und Stabilisierungsfrage, im Auftrage des Vereins veranstaltet von Karl Diehl - Felix Somary. (Schriften des Vereins für Sozialpolitik 165-II).</t>
  </si>
  <si>
    <t>Die Devalvierung des österreichischen Papiergeldes im Jahre 1811. Eine finanzgeschichtliche Darstellung nach archivalischen Quellen. : Geschichte der Stabilisierungsversuche, hrsg. von Melchior Palyi, erster Teil. Deutsche Zahlungsbilanz und Stabilisierungsfrage, im Auftrage des Vereins veranstaltet von Karl Diehl - Felix Somary. (Schriften des Vereins für Sozialpolitik 165-I).</t>
  </si>
  <si>
    <t>Das Papiergeld der französischen Revolution 1789–1797. : Aus dem Russ. von F. Schlömer. Geschichte der Stabilisierungsversuche, hrsg. von M. Palyi, dritter Teil. Dt. Zahlungsbilanz und Stabilisierungsfrage, im Auftr. des Ver. veranst. von K. Diehl - F. Somary. (Schriften des Vereins für Sozialpolitik 165-III).</t>
  </si>
  <si>
    <t>Währungsreform in der Tschechoslowakei und in Sowjet-Rußland. : Geschichte der Stabilisierungsversuche, hrsg. von Melchior Palyi, vierter Teil. Deutsche Zahlungsbilanz und Stabilisierungsfrage, im Auftrage des Vereins veranstaltet von Karl Diehl - Felix Somary. (Schriften des Vereins für Sozialpolitik 165-IV).</t>
  </si>
  <si>
    <t>Die Politik der Reichsbank und die Reichsschatzanweisungen nach dem Kriege. : Zweiter Teil, hrsg. von Franz Eulenburg. Deutsche Zahlungsbilanz und Stabilisierungsfrage, im Auftrage des Vereins veranstaltet von Karl Diehl - Felix Somary. (Schriften des Vereins für Sozialpolitik 166-II).</t>
  </si>
  <si>
    <t>Probleme der deutschen Zahlungsbilanz. : Erster Teil, hrsg. von Moritz Julius Bonn. Deutsche Zahlungsbilanz und Stabilisierungsfrage, im Auftrage des Vereins veranstaltet von Karl Diehl - Felix Somary. (Schriften des Vereins für Sozialpolitik 167-I).</t>
  </si>
  <si>
    <t>Zahlungsbilanz und Lebensfähigkeit Österreichs. : Zweiter Teil, hrsg. von Moritz Julius Bonn. Deutsche Zahlungsbilanz und Stabilisierungsfrage, im Auftrage des Vereins veranstaltet von Karl Diehl - Felix Somary. (Schriften des Vereins für Sozialpolitik 167-II).</t>
  </si>
  <si>
    <t>Steuerbelastung und Wiedergutmachung. Ein Beitrag zur Reparationsfrage. : Finanzwissenschaftliche Untersuchungen, hrsg. von Walther Lotz, erster Teil. Deutsche Zahlungsbilanz und Stabilisierungsfrage, im Auftrage des Vereins veranstaltet von Karl Diehl - Felix Somary. (Schriften des Vereins für Sozialpolitik 168-I).</t>
  </si>
  <si>
    <t>Besteuerung und Geldentwertung. : Finanzwissenschaftliche Untersuchungen, hrsg. von Walther Lotz, zweiter Teil. Deutsche Zahlungsbilanz und Stabilisierungsfrage, im Auftrage des Vereins veranstaltet von Karl Diehl - Felix Somary. (Schriften des Vereins für Sozialpolitik 168-II).</t>
  </si>
  <si>
    <t>Geldentwertung und Stabilisierung in ihren Einflüssen auf die soziale Entwicklung in Österreich. : (Schriften des Vereins für Sozialpolitik 169).</t>
  </si>
  <si>
    <t>Theorie des Klassenkampfs – Handelspolitik – Währungsfrage. : Verhandlungen des Vereins für Sozialpolitik in Stuttgart, 24.–26. September 1924. Auf Grund der stenographischen Niederschrift hrsg. vom Vorstand. (Schriften des Vereins für Sozialpolitik 170).</t>
  </si>
  <si>
    <t>Neue Grundlagen der Handelspolitik. : Wissenschaftliche Gutachten. Erster Teil: Deutschland. (Schriften des Vereins für Sozialpolitik 171-I).</t>
  </si>
  <si>
    <t>Neue Grundlagen der Handelspolitik. : Wissenschaftliche Gutachten. Zweiter Teil: Ausland. (Schriften des Vereins für Sozialpolitik 171-II).</t>
  </si>
  <si>
    <t>Neue Grundlagen der Handelspolitik. : Wissenschaftliche Gutachten. Dritter Teil: Weltwirtschaft I. (Schriften des Vereins für Sozialpolitik 171-III.1).</t>
  </si>
  <si>
    <t>Neue Grundlagen der Handelspolitik. : Wissenschaftliche Gutachten. Dritter Teil: Weltwirtschaft II. (Schriften des Vereins für Sozialpolitik 171-III.2).</t>
  </si>
  <si>
    <t>Krisis der Weltwirtschaft – Übervölkerung Westeuropas – Steuerüberwälzung. : Verhandlungen des Vereins für Sozialpolitik in Wien, 23.–25. September 1926. Auf Grund der stenographischen Niederschrift herausgegeben. (Schriften des Vereins für Sozialpolitik 172).</t>
  </si>
  <si>
    <t>Beiträge zur Wirtschaftstheorie. : Wissenschaftliche Gutachten. Erster Teil: Volkseinkommen und Volksvermögen. Begriffskritische Untersuchungen. (Schriften des Vereins für Sozialpolitik 173-I).</t>
  </si>
  <si>
    <t>Beiträge zur Wirtschaftstheorie. : Wissenschaftliche Gutachten. Zweiter Teil: Konjunkturforschung und Konjunkturtheorie. (Schriften des Vereins für Sozialpolitik 173-II).</t>
  </si>
  <si>
    <t>Finanzwissenschaftliche Untersuchungen. : Wissenschaftliche Gutachten. Erster Teil. (Schriften des Vereins für Sozialpolitik 174-I).</t>
  </si>
  <si>
    <t>Finanzsteuern, Zwecksteuern und Zweckzuwendungen von Steuererträgen. : Eine finanztheoretische und finanzpolitische Studie. Finanzwissenschaftliche Untersuchungen, zweiter Teil. Hrsg. von Walther Lotz. (Schriften des Vereins für Sozialpolitik 174-II).</t>
  </si>
  <si>
    <t>Die Auslandskredite in ihrer finanziellen, wirtschaftlichen und sozialen Bedeutung. : Finanzwissenschaftliche Untersuchungen, dritter Teil. Wissenschaftliche Gutachten. (Schriften des Vereins für Sozialpolitik 174-III).</t>
  </si>
  <si>
    <t>Kapitalbildung und Besteuerung. : Finanzwissenschaftliche Untersuchungen, vierter Teil. Wissenschaftliche Gutachten. (Schriften des Vereins für Sozialpolitik 174-IV).</t>
  </si>
  <si>
    <t>Moderne Organisationsformen der öffentlichen Unternehmung. : Erster Teil: Die Aufgaben der öffentlichen Unternehmungen und ihrer Organisationsformen. Mit 8 Beiträgen. (Schriften des Vereins für Sozialpolitik, Band 176-I).</t>
  </si>
  <si>
    <t>Moderne Organisationsformen der öffentlichen Unternehmung. : Dritter Teil: Ausland. Mit sechs Beiträgen. (Schriften des Vereins für Sozialpolitik, Band 176-III).</t>
  </si>
  <si>
    <t>Moderne Organisationsformen der öffentlichen Unternehmung. : Vierter Teil: Reinerträge und Zuschußbedarf der öffentlichen Unternehmungstätigkeit. Von Bruno Moll. (Schriften des Vereins für Sozialpolitik, Band 176-IV).</t>
  </si>
  <si>
    <t>Beiträge zur städtischen Wohn- und Siedelwirtschaft. : Erster Teil: Deutschland: Kritische Gesamtübersichten und allgemeine Probleme. (Schriften des Vereins für Sozialpolitik, Band 177-I).</t>
  </si>
  <si>
    <t>Beiträge zur städtischen Wohn- und Siedelwirtschaft. : Zweiter Teil: Deutschland: Die besonderen Probleme. (Schriften des Vereins für Sozialpolitik, Band 177-II).</t>
  </si>
  <si>
    <t>Beiträge zur städtischen Wohn- und Siedelwirtschaft. : Dritter Teil: Wohnungsfragen in Österreich. (Schriften des Vereins für Sozialpolitik, Band 177-III).</t>
  </si>
  <si>
    <t>Die Vererbung des ländlichen Grundbesitzes in der Nachkriegszeit. : Erster Teil: Deutsches Reich. (Schriften des Vereins für Sozialpolitik, Band 178-I).</t>
  </si>
  <si>
    <t>Die Vererbung des ländlichen Grundbesitzes in der Nachkriegszeit. : Dritter Teil: Die Anerbengesetze in den deutschen und außerdeutschen Ländern. Bearb. von Gustav Wagemann. (Schriften des Vereins für Sozialpolitik, Band 178-III).</t>
  </si>
  <si>
    <t>Die Vererbung des ländlichen Grundbesitzes in der Nachkriegszeit. : Zweiter Teil: Nachbarländer. (Schriften des Vereins für Sozialpolitik, Band 178-II).</t>
  </si>
  <si>
    <t>Einigungs- und Schiedsgrundsatz. : Begriffliches, Kritisches und Positives zum Schlichtungsproblem. Untersuchungen über das Schlichtungswesen, erster Teil. Hrsg. von Moritz Julius Bonn in Verbindung mit Carl Landauer - Friedrich Lemmer. (Schriften des Vereins für Sozialpolitik 179-I).</t>
  </si>
  <si>
    <t>Das Schlichtungswesen des Auslandes. : Untersuchungen über das Schlichtungswesen, zweiter Teil. (Schriften des Vereins für Sozialpolitik 179-II).</t>
  </si>
  <si>
    <t>Das Kartellproblem. : Beiträge zur Theorie und Praxis. Erster Teil. (Schriften des Vereins für Sozialpolitik 180-I).</t>
  </si>
  <si>
    <t>Das Kartellproblem im Lichte der deutschen Kartelliteratur. : Das Kartellproblem. Beiträge zur Theorie und Praxis. Zweiter Teil. Hrsg. von Emil Lederer unter Mitwirkung von Goetz Briefs - Arthur Feiler - Georg Jahn - Ludwig Mises. (Schriften des Vereins für Sozialpolitik 180-II).</t>
  </si>
  <si>
    <t>Das Kartellproblem. : Beiträge zur Theorie und Praxis. Dritter Teil. (Schriften des Vereins für Sozialpolitik 180-III).</t>
  </si>
  <si>
    <t>Das Deutsche Institut für technische Arbeitsschulung (Dinta). : Probleme der sozialen Werkspolitik, erster Teil. Hrsg. von Goetz Briefs. (Schriften des Vereins für Sozialpolitik 181-I).</t>
  </si>
  <si>
    <t>Grundfragen der betrieblichen Sozialpolitik. : Probleme der sozialen Werkspolitik, dritter Teil. Hrsg. von Goetz Briefs. (Schriften des Vereins für Sozialpolitik 181-III).</t>
  </si>
  <si>
    <t>Grundlagen und Grenzen der Sozialpolitik – Deutsche Agrarnot – Städtische Wohn- und Siedelwirtschaft. : Verhandlungen des Vereins für Sozialpolitik in Königsberg, 24.–26. September 1930. Auf Grund der stenographischen Niederschrift herausgegeben. (Schriften des Vereins für Sozialpolitik 182).</t>
  </si>
  <si>
    <t>Die Beamtenbesoldung im modernen Staat. : Erster Teil. (Schriften des Vereins für Sozialpolitik 184-1).</t>
  </si>
  <si>
    <t>Die Beamtenbesoldung im modernen Staat. : Zweiter Teil. (Schriften des Vereins für Sozialpolitik 184-2).</t>
  </si>
  <si>
    <t>Die Arbeitslosigkeit der Gegenwart. : Vierter Teil: Die Arbeitslosigkeit in der Schweiz. Hrsg. von Manuel Saitzew. (Schriften des Vereins für Sozialpolitik, Band 185-IV).</t>
  </si>
  <si>
    <t>Die betriebliche Sozialpolitik im Ruhrkohlenbergbau. : Die betriebliche Sozialpolitik einzelner Industriezweige, erster Teil. Hrsg. von Goetz Briefs. (Schriften des Vereins für Sozialpolitik, Band 186-I).</t>
  </si>
  <si>
    <t>Das modernisierte Besteuerungsverfahren in Deutschland im Vergleich zu Österreich. : Die verfassungsgemäße Fortentwicklung von E-Government als Herausforderung und Chance für die deutsche Finanzverwaltung.</t>
  </si>
  <si>
    <t>Reichskanzler Theobald von Bethmann Hollweg 1909–1921. : Rekonstruktion seines verlorenen Nachlasses. Herausgegeben und bearbeitet von Winfried Baumgart. 2 Teilbände.</t>
  </si>
  <si>
    <t>Maritime Risk Management. : Essays on the History of Marine Insurance, General Average and Sea Loan.</t>
  </si>
  <si>
    <t>Kameralismus und Merkantilismus. : Studien zur Entwicklung der ökonomischen Theorie XXXIX.</t>
  </si>
  <si>
    <t>Zeit in Gesetzen erfasst – G. W. F. Hegels Theorie der Kodifikation.</t>
  </si>
  <si>
    <t>Private Schadensgestaltung als Drittbelastung. : Fangprämien, Vertrags- und Verbandsstrafen: Regressfähige Schadensposten oder unzulässige Rechtsgeschäfte zu Lasten Dritter?</t>
  </si>
  <si>
    <t>Korpuslinguistik im Recht. : Theoretische Überlegungen und Fallstudien.</t>
  </si>
  <si>
    <t>Normative Legitimität von Recht, Moral und Menschenrechten im Lichte der positivistischen Trennungsthese.</t>
  </si>
  <si>
    <t>Entwicklung der Konjunkturforschung im frühen 20. Jahrhundert. : Studien zur Entwicklung der ökonomischen Theorie XL.</t>
  </si>
  <si>
    <t>Deforming the Reform : The Impact of Elites on Romania's Post-Accession Europeanization</t>
  </si>
  <si>
    <t>Monte Carlo N-Particle Simulations for Nuclear Detection and Safeguards : An Examples-Based Guide for Students and Practitioners</t>
  </si>
  <si>
    <t>The Search for Ultralight Bosonic Dark Matter</t>
  </si>
  <si>
    <t>The Asymmetric Nature of Time : Accounting for the Open Future and the Fixed Past</t>
  </si>
  <si>
    <t>Small Angle Scattering As a Tool to Study Protein Structure and Interactions</t>
  </si>
  <si>
    <t>Kaiser Karl V. und das Heilige Römische Reich</t>
  </si>
  <si>
    <t>Hirzel Verlag</t>
  </si>
  <si>
    <t>Multiplikator, Gleichgewicht, optimale Wachstumsrate und Standortverteilung.</t>
  </si>
  <si>
    <t>Autonome und heteronome Verteilung. : Rechtsordnung staatlicher Lenkung von Produktion und Verteilung.</t>
  </si>
  <si>
    <t>Studien zum Marktsozialismus.</t>
  </si>
  <si>
    <t>Wettbewerbsprobleme der Versicherungswirtschaft.</t>
  </si>
  <si>
    <t>Wettbewerbsprobleme der Mineralölwirtschaft im Schatten des OPEC-Kartells.</t>
  </si>
  <si>
    <t>Wettbewerbsprobleme auf dem Markt für Arzneimittel und staatliche Gesundheitspolitik.</t>
  </si>
  <si>
    <t>Selbstverwaltung als ordnungspolitisches Problem des Sozialstaates I.</t>
  </si>
  <si>
    <t>Das Arbeitskräfteangebot zwischen Markt und Plan.</t>
  </si>
  <si>
    <t>Beiträge zur Innovationspolitik.</t>
  </si>
  <si>
    <t>Islam, Justice, and Democracy</t>
  </si>
  <si>
    <t>20 More : Selected Stories from Drue Heinz Literature Prize Winners, 2001-2021</t>
  </si>
  <si>
    <t>University of Pittsburgh Press</t>
  </si>
  <si>
    <t>Rolling Transitions and the Role of Intellectual : The Case of Hungary</t>
  </si>
  <si>
    <t>Architecture and Politics in Africa : Making, Living and Imagining Identities Through Buildings</t>
  </si>
  <si>
    <t>A Story of Conquest and Adventure : The Large Faramarzname</t>
  </si>
  <si>
    <t>The Rise of the ni&amp;apos</t>
  </si>
  <si>
    <t>Contested Sustainability : The Political Ecology of Conservation and Development in Tanzania</t>
  </si>
  <si>
    <t>Reading the Juggler of Notre Dame : Medieval Miracles and Modern Remakings</t>
  </si>
  <si>
    <t>An Outline of Romanticism in the West</t>
  </si>
  <si>
    <t>Anthropology of Transformation : From Europe to Asia and Back</t>
  </si>
  <si>
    <t>Life, Re-Scaled : The Biological Imagination in Twenty-First-Century Literature and Performance</t>
  </si>
  <si>
    <t>Sefer Ha-Pardes by Jedaiah Ha-Penini : A Critical Edition with English Translation</t>
  </si>
  <si>
    <t>Neo-Aramaic and Kurdish Folklore from Northern Iraq : A Comparative Anthology with a Sample of Glossed Texts, Volume 2</t>
  </si>
  <si>
    <t>The Merger Mystery : Why Spend Ever More on Mergers When So Many Fail?</t>
  </si>
  <si>
    <t>'Fragile States' in an Unequal World : The Role of the G7+ in International Diplomacy and Development Cooperation</t>
  </si>
  <si>
    <t>The Diaries of Anthony Hewitson, Provincial Journalist, Volume 1 : 1865-1887</t>
  </si>
  <si>
    <t>Neo-Aramaic and Kurdish Folklore from Northern Iraq : A Comparative Anthology with a Sample of Glossed Texts, Volume 1</t>
  </si>
  <si>
    <t>Women and Migration(s) II</t>
  </si>
  <si>
    <t>Second Chance : My Life in Things</t>
  </si>
  <si>
    <t>The Power of Music : An Exploration of the Evidence</t>
  </si>
  <si>
    <t>The Classical Parthenon : Recovering the Strangeness of the Ancient World</t>
  </si>
  <si>
    <t>The Official Indonesian Qurʾān Translation : The History and Politics of Al-Qur'an Dan Terjemahnya</t>
  </si>
  <si>
    <t>Diachronic Variation in the Omani Arabic Vernacular of the Al-ʿAwābī District : From Carl Reinhardt (1894) to the Present Day</t>
  </si>
  <si>
    <t>A Complete Guide to Maggot Therapy : Clinical Practice, Therapeutic Principles, Production, Distribution, and Ethics</t>
  </si>
  <si>
    <t>Fatigue and Peripheral Muscle Dysfunction: Studies on Vitamin d Status, Muscle Metabolism and Systemic Inflammation in Patients with COPD : Aspects of COPD Severity Beyond FEV1 and Exacerbations</t>
  </si>
  <si>
    <t>Deep Learning for Digital Pathology in Limited Data Scenarios</t>
  </si>
  <si>
    <t>Early Life Environmental Risk Factors and Gut Microbiota in Juvenile Idiopathic Arthritis : - More Than a Gut Feeling</t>
  </si>
  <si>
    <t>Living Biohybrid Systems Via in Vivo Polymerization of Thiophene Oligomers</t>
  </si>
  <si>
    <t>Income and Fuel Price Elasticities of Car Use</t>
  </si>
  <si>
    <t>Testosterone Analysis in Hair</t>
  </si>
  <si>
    <t>Neutron Reflectometry Studies of the Hydrated Structure of Polymer Thin Films</t>
  </si>
  <si>
    <t>What Makes a Patient Satisfied with Intrathecal Baclofen Treatment for Spasticity : Expectations and Experiences</t>
  </si>
  <si>
    <t>Distortion and Subversion : Punk Rock Music and the Protests for Free Public Transportation in Brazil (1996-2011)</t>
  </si>
  <si>
    <t>Surface-Controlled Chemical Vapor Deposition of Silicon Carbide</t>
  </si>
  <si>
    <t>Performance and Security Analysis for GPU-Based Applications</t>
  </si>
  <si>
    <t>Boolean Complexes of Involutions and Smooth Intervals in Coxeter Groups</t>
  </si>
  <si>
    <t>Identification of Nonlinear Marine Systems</t>
  </si>
  <si>
    <t>Advanced Surgeries, Medicines and Materials for Corneal Regeneration</t>
  </si>
  <si>
    <t>Studies in the Masoretic Tradition of the Hebrew Bible</t>
  </si>
  <si>
    <t>Beware of Non-Supportive Leaders : Moderating Effects of Supportive Leadership on the Risks and Effects of Workplace Bullying</t>
  </si>
  <si>
    <t>A Divided Old Age Through Research on Digital Technologies</t>
  </si>
  <si>
    <t>The Dynamics of Innovation and Knowledge-Based Regional Development</t>
  </si>
  <si>
    <t>Kvalitetsproblem I Svensk Vuxenutbildning : Hur Kvalitetens Mikropolitik Konstrueras I Granskningssamhället</t>
  </si>
  <si>
    <t>A World Without Hunger : Josué de Castro and the History of Geography</t>
  </si>
  <si>
    <t>The Bible in the Bowls : A Catalogue of Biblical Quotations in Published Jewish Babylonian Aramaic Magic Bowls</t>
  </si>
  <si>
    <t>Engaging with Everyday Sounds</t>
  </si>
  <si>
    <t>Flavian Responses to Nero's Rome</t>
  </si>
  <si>
    <t>ISBN</t>
  </si>
  <si>
    <t>E-ISBN</t>
  </si>
  <si>
    <t>Pub Date</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</si>
</sst>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162"/>
      <scheme val="minor"/>
    </font>
    <font>
      <sz val="11"/>
      <color theme="1"/>
      <name val="Calibri"/>
      <family val="2"/>
      <charset val="162"/>
      <scheme val="minor"/>
    </font>
    <font>
      <sz val="18"/>
      <color theme="3"/>
      <name val="Calibri Light"/>
      <family val="2"/>
      <charset val="162"/>
      <scheme val="major"/>
    </font>
    <font>
      <b/>
      <sz val="15"/>
      <color theme="3"/>
      <name val="Calibri"/>
      <family val="2"/>
      <charset val="162"/>
      <scheme val="minor"/>
    </font>
    <font>
      <b/>
      <sz val="13"/>
      <color theme="3"/>
      <name val="Calibri"/>
      <family val="2"/>
      <charset val="162"/>
      <scheme val="minor"/>
    </font>
    <font>
      <b/>
      <sz val="11"/>
      <color theme="3"/>
      <name val="Calibri"/>
      <family val="2"/>
      <charset val="162"/>
      <scheme val="minor"/>
    </font>
    <font>
      <sz val="11"/>
      <color rgb="FF006100"/>
      <name val="Calibri"/>
      <family val="2"/>
      <charset val="162"/>
      <scheme val="minor"/>
    </font>
    <font>
      <sz val="11"/>
      <color rgb="FF9C0006"/>
      <name val="Calibri"/>
      <family val="2"/>
      <charset val="162"/>
      <scheme val="minor"/>
    </font>
    <font>
      <sz val="11"/>
      <color rgb="FF9C5700"/>
      <name val="Calibri"/>
      <family val="2"/>
      <charset val="162"/>
      <scheme val="minor"/>
    </font>
    <font>
      <sz val="11"/>
      <color rgb="FF3F3F76"/>
      <name val="Calibri"/>
      <family val="2"/>
      <charset val="162"/>
      <scheme val="minor"/>
    </font>
    <font>
      <b/>
      <sz val="11"/>
      <color rgb="FF3F3F3F"/>
      <name val="Calibri"/>
      <family val="2"/>
      <charset val="162"/>
      <scheme val="minor"/>
    </font>
    <font>
      <b/>
      <sz val="11"/>
      <color rgb="FFFA7D00"/>
      <name val="Calibri"/>
      <family val="2"/>
      <charset val="162"/>
      <scheme val="minor"/>
    </font>
    <font>
      <sz val="11"/>
      <color rgb="FFFA7D00"/>
      <name val="Calibri"/>
      <family val="2"/>
      <charset val="162"/>
      <scheme val="minor"/>
    </font>
    <font>
      <b/>
      <sz val="11"/>
      <color theme="0"/>
      <name val="Calibri"/>
      <family val="2"/>
      <charset val="162"/>
      <scheme val="minor"/>
    </font>
    <font>
      <sz val="11"/>
      <color rgb="FFFF0000"/>
      <name val="Calibri"/>
      <family val="2"/>
      <charset val="162"/>
      <scheme val="minor"/>
    </font>
    <font>
      <i/>
      <sz val="11"/>
      <color rgb="FF7F7F7F"/>
      <name val="Calibri"/>
      <family val="2"/>
      <charset val="162"/>
      <scheme val="minor"/>
    </font>
    <font>
      <b/>
      <sz val="11"/>
      <color theme="1"/>
      <name val="Calibri"/>
      <family val="2"/>
      <charset val="162"/>
      <scheme val="minor"/>
    </font>
    <font>
      <sz val="11"/>
      <color theme="0"/>
      <name val="Calibri"/>
      <family val="2"/>
      <charset val="16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3">
    <xf numFmtId="0" fontId="0" fillId="0" borderId="0" xfId="0"/>
    <xf numFmtId="14" fontId="0" fillId="0" borderId="0" xfId="0" applyNumberFormat="1"/>
    <xf numFmtId="0" fontId="0" fillId="0" borderId="0" xfId="0" applyAlignment="1">
      <alignment horizontal="center"/>
    </xf>
  </cellXfs>
  <cellStyles count="42">
    <cellStyle name="%20 - Vurgu1" xfId="19" builtinId="30" customBuiltin="1"/>
    <cellStyle name="%20 - Vurgu2" xfId="23" builtinId="34" customBuiltin="1"/>
    <cellStyle name="%20 - Vurgu3" xfId="27" builtinId="38" customBuiltin="1"/>
    <cellStyle name="%20 - Vurgu4" xfId="31" builtinId="42" customBuiltin="1"/>
    <cellStyle name="%20 - Vurgu5" xfId="35" builtinId="46" customBuiltin="1"/>
    <cellStyle name="%20 - Vurgu6" xfId="39" builtinId="50" customBuiltin="1"/>
    <cellStyle name="%40 - Vurgu1" xfId="20" builtinId="31" customBuiltin="1"/>
    <cellStyle name="%40 - Vurgu2" xfId="24" builtinId="35" customBuiltin="1"/>
    <cellStyle name="%40 - Vurgu3" xfId="28" builtinId="39" customBuiltin="1"/>
    <cellStyle name="%40 - Vurgu4" xfId="32" builtinId="43" customBuiltin="1"/>
    <cellStyle name="%40 - Vurgu5" xfId="36" builtinId="47" customBuiltin="1"/>
    <cellStyle name="%40 - Vurgu6" xfId="40" builtinId="51" customBuiltin="1"/>
    <cellStyle name="%60 - Vurgu1" xfId="21" builtinId="32" customBuiltin="1"/>
    <cellStyle name="%60 - Vurgu2" xfId="25" builtinId="36" customBuiltin="1"/>
    <cellStyle name="%60 - Vurgu3" xfId="29" builtinId="40" customBuiltin="1"/>
    <cellStyle name="%60 - Vurgu4" xfId="33" builtinId="44" customBuiltin="1"/>
    <cellStyle name="%60 - Vurgu5" xfId="37" builtinId="48" customBuiltin="1"/>
    <cellStyle name="%60 - Vurgu6" xfId="41" builtinId="52" customBuiltin="1"/>
    <cellStyle name="Açıklama Metni" xfId="16" builtinId="53" customBuiltin="1"/>
    <cellStyle name="Ana Başlık" xfId="1" builtinId="15" customBuiltin="1"/>
    <cellStyle name="Bağlı Hücre" xfId="12" builtinId="24" customBuiltin="1"/>
    <cellStyle name="Başlık 1" xfId="2" builtinId="16" customBuiltin="1"/>
    <cellStyle name="Başlık 2" xfId="3" builtinId="17" customBuiltin="1"/>
    <cellStyle name="Başlık 3" xfId="4" builtinId="18" customBuiltin="1"/>
    <cellStyle name="Başlık 4" xfId="5" builtinId="19" customBuiltin="1"/>
    <cellStyle name="Çıkış" xfId="10" builtinId="21" customBuiltin="1"/>
    <cellStyle name="Giriş" xfId="9" builtinId="20" customBuiltin="1"/>
    <cellStyle name="Hesaplama" xfId="11" builtinId="22" customBuiltin="1"/>
    <cellStyle name="İşaretli Hücre" xfId="13" builtinId="23" customBuiltin="1"/>
    <cellStyle name="İyi" xfId="6" builtinId="26" customBuiltin="1"/>
    <cellStyle name="Kötü" xfId="7" builtinId="27" customBuiltin="1"/>
    <cellStyle name="Normal" xfId="0" builtinId="0"/>
    <cellStyle name="Not" xfId="15" builtinId="10" customBuiltin="1"/>
    <cellStyle name="Nötr" xfId="8" builtinId="28" customBuiltin="1"/>
    <cellStyle name="Toplam" xfId="17" builtinId="25" customBuiltin="1"/>
    <cellStyle name="Uyarı Metni" xfId="14" builtinId="11" customBuiltin="1"/>
    <cellStyle name="Vurgu1" xfId="18" builtinId="29" customBuiltin="1"/>
    <cellStyle name="Vurgu2" xfId="22" builtinId="33" customBuiltin="1"/>
    <cellStyle name="Vurgu3" xfId="26" builtinId="37" customBuiltin="1"/>
    <cellStyle name="Vurgu4" xfId="30" builtinId="41" customBuiltin="1"/>
    <cellStyle name="Vurgu5" xfId="34" builtinId="45" customBuiltin="1"/>
    <cellStyle name="Vurgu6" xfId="38" builtinId="49"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64"/>
  <sheetViews>
    <sheetView tabSelected="1" workbookViewId="0">
      <selection activeCell="B7" sqref="B7"/>
    </sheetView>
  </sheetViews>
  <sheetFormatPr defaultRowHeight="15" x14ac:dyDescent="0.25"/>
  <cols>
    <col min="1" max="1" width="15" customWidth="1"/>
    <col min="2" max="2" width="52" customWidth="1"/>
    <col min="3" max="3" width="29.140625" customWidth="1"/>
    <col min="4" max="4" width="18.28515625" customWidth="1"/>
    <col min="5" max="6" width="23.28515625" customWidth="1"/>
  </cols>
  <sheetData>
    <row r="1" spans="1:6" s="2" customFormat="1" x14ac:dyDescent="0.25">
      <c r="A1" s="2" t="s">
        <v>0</v>
      </c>
      <c r="B1" s="2" t="s">
        <v>1</v>
      </c>
      <c r="C1" s="2" t="s">
        <v>5337</v>
      </c>
      <c r="D1" s="2" t="s">
        <v>5338</v>
      </c>
      <c r="E1" s="2" t="s">
        <v>2</v>
      </c>
      <c r="F1" s="2" t="s">
        <v>5339</v>
      </c>
    </row>
    <row r="2" spans="1:6" x14ac:dyDescent="0.25">
      <c r="A2">
        <v>231315</v>
      </c>
      <c r="B2" t="s">
        <v>3</v>
      </c>
      <c r="C2" t="str">
        <f>"9780719052590"</f>
        <v>9780719052590</v>
      </c>
      <c r="D2" t="str">
        <f>"9781847790248"</f>
        <v>9781847790248</v>
      </c>
      <c r="E2" t="s">
        <v>4</v>
      </c>
      <c r="F2" s="1">
        <v>37800</v>
      </c>
    </row>
    <row r="3" spans="1:6" x14ac:dyDescent="0.25">
      <c r="A3">
        <v>239235</v>
      </c>
      <c r="B3" t="s">
        <v>5</v>
      </c>
      <c r="C3" t="str">
        <f>"9780719064685"</f>
        <v>9780719064685</v>
      </c>
      <c r="D3" t="str">
        <f>"9781847790293"</f>
        <v>9781847790293</v>
      </c>
      <c r="E3" t="s">
        <v>4</v>
      </c>
      <c r="F3" s="1">
        <v>37820</v>
      </c>
    </row>
    <row r="4" spans="1:6" x14ac:dyDescent="0.25">
      <c r="A4">
        <v>242612</v>
      </c>
      <c r="B4" t="s">
        <v>6</v>
      </c>
      <c r="C4" t="str">
        <f>"9780719063725"</f>
        <v>9780719063725</v>
      </c>
      <c r="D4" t="str">
        <f>"9781847790552"</f>
        <v>9781847790552</v>
      </c>
      <c r="E4" t="s">
        <v>4</v>
      </c>
      <c r="F4" s="1">
        <v>37757</v>
      </c>
    </row>
    <row r="5" spans="1:6" x14ac:dyDescent="0.25">
      <c r="A5">
        <v>242613</v>
      </c>
      <c r="B5" t="s">
        <v>7</v>
      </c>
      <c r="C5" t="str">
        <f>"9780719057380"</f>
        <v>9780719057380</v>
      </c>
      <c r="D5" t="str">
        <f>"9781847790330"</f>
        <v>9781847790330</v>
      </c>
      <c r="E5" t="s">
        <v>4</v>
      </c>
      <c r="F5" s="1">
        <v>37728</v>
      </c>
    </row>
    <row r="6" spans="1:6" x14ac:dyDescent="0.25">
      <c r="A6">
        <v>242614</v>
      </c>
      <c r="B6" t="s">
        <v>8</v>
      </c>
      <c r="C6" t="str">
        <f>"9780719062674"</f>
        <v>9780719062674</v>
      </c>
      <c r="D6" t="str">
        <f>"9781847790521"</f>
        <v>9781847790521</v>
      </c>
      <c r="E6" t="s">
        <v>4</v>
      </c>
      <c r="F6" s="1">
        <v>37540</v>
      </c>
    </row>
    <row r="7" spans="1:6" x14ac:dyDescent="0.25">
      <c r="A7">
        <v>242616</v>
      </c>
      <c r="B7" t="s">
        <v>9</v>
      </c>
      <c r="C7" t="str">
        <f>"9780719063640"</f>
        <v>9780719063640</v>
      </c>
      <c r="D7" t="str">
        <f>"9781847790392"</f>
        <v>9781847790392</v>
      </c>
      <c r="E7" t="s">
        <v>4</v>
      </c>
      <c r="F7" s="1">
        <v>37870</v>
      </c>
    </row>
    <row r="8" spans="1:6" x14ac:dyDescent="0.25">
      <c r="A8">
        <v>242617</v>
      </c>
      <c r="B8" t="s">
        <v>10</v>
      </c>
      <c r="C8" t="str">
        <f>"9780719058691"</f>
        <v>9780719058691</v>
      </c>
      <c r="D8" t="str">
        <f>"9781847790255"</f>
        <v>9781847790255</v>
      </c>
      <c r="E8" t="s">
        <v>4</v>
      </c>
      <c r="F8" s="1">
        <v>37730</v>
      </c>
    </row>
    <row r="9" spans="1:6" x14ac:dyDescent="0.25">
      <c r="A9">
        <v>242618</v>
      </c>
      <c r="B9" t="s">
        <v>11</v>
      </c>
      <c r="C9" t="str">
        <f>"9780719057939"</f>
        <v>9780719057939</v>
      </c>
      <c r="D9" t="str">
        <f>"9781847790118"</f>
        <v>9781847790118</v>
      </c>
      <c r="E9" t="s">
        <v>4</v>
      </c>
      <c r="F9" s="1">
        <v>36848</v>
      </c>
    </row>
    <row r="10" spans="1:6" x14ac:dyDescent="0.25">
      <c r="A10">
        <v>242619</v>
      </c>
      <c r="B10" t="s">
        <v>12</v>
      </c>
      <c r="C10" t="str">
        <f>"9780719062322"</f>
        <v>9780719062322</v>
      </c>
      <c r="D10" t="str">
        <f>"9781847790453"</f>
        <v>9781847790453</v>
      </c>
      <c r="E10" t="s">
        <v>4</v>
      </c>
      <c r="F10" s="1">
        <v>37820</v>
      </c>
    </row>
    <row r="11" spans="1:6" x14ac:dyDescent="0.25">
      <c r="A11">
        <v>242620</v>
      </c>
      <c r="B11" t="s">
        <v>13</v>
      </c>
      <c r="C11" t="str">
        <f>"9780719062483"</f>
        <v>9780719062483</v>
      </c>
      <c r="D11" t="str">
        <f>"9781847790477"</f>
        <v>9781847790477</v>
      </c>
      <c r="E11" t="s">
        <v>4</v>
      </c>
      <c r="F11" s="1">
        <v>37770</v>
      </c>
    </row>
    <row r="12" spans="1:6" x14ac:dyDescent="0.25">
      <c r="A12">
        <v>242622</v>
      </c>
      <c r="B12" t="s">
        <v>14</v>
      </c>
      <c r="C12" t="str">
        <f>"9780719063855"</f>
        <v>9780719063855</v>
      </c>
      <c r="D12" t="str">
        <f>"9781847790415"</f>
        <v>9781847790415</v>
      </c>
      <c r="E12" t="s">
        <v>4</v>
      </c>
      <c r="F12" s="1">
        <v>37820</v>
      </c>
    </row>
    <row r="13" spans="1:6" x14ac:dyDescent="0.25">
      <c r="A13">
        <v>242623</v>
      </c>
      <c r="B13" t="s">
        <v>15</v>
      </c>
      <c r="C13" t="str">
        <f>"9780719063862"</f>
        <v>9780719063862</v>
      </c>
      <c r="D13" t="str">
        <f>"9781847790279"</f>
        <v>9781847790279</v>
      </c>
      <c r="E13" t="s">
        <v>4</v>
      </c>
      <c r="F13" s="1">
        <v>37800</v>
      </c>
    </row>
    <row r="14" spans="1:6" x14ac:dyDescent="0.25">
      <c r="A14">
        <v>242624</v>
      </c>
      <c r="B14" t="s">
        <v>16</v>
      </c>
      <c r="C14" t="str">
        <f>"9780719054204"</f>
        <v>9780719054204</v>
      </c>
      <c r="D14" t="str">
        <f>"9781847790323"</f>
        <v>9781847790323</v>
      </c>
      <c r="E14" t="s">
        <v>4</v>
      </c>
      <c r="F14" s="1">
        <v>37728</v>
      </c>
    </row>
    <row r="15" spans="1:6" x14ac:dyDescent="0.25">
      <c r="A15">
        <v>242625</v>
      </c>
      <c r="B15" t="s">
        <v>17</v>
      </c>
      <c r="C15" t="str">
        <f>"9780719063121"</f>
        <v>9780719063121</v>
      </c>
      <c r="D15" t="str">
        <f>"9781847790545"</f>
        <v>9781847790545</v>
      </c>
      <c r="E15" t="s">
        <v>4</v>
      </c>
      <c r="F15" s="1">
        <v>37687</v>
      </c>
    </row>
    <row r="16" spans="1:6" x14ac:dyDescent="0.25">
      <c r="A16">
        <v>242626</v>
      </c>
      <c r="B16" t="s">
        <v>18</v>
      </c>
      <c r="C16" t="str">
        <f>"9780719060700"</f>
        <v>9780719060700</v>
      </c>
      <c r="D16" t="str">
        <f>"9781847790149"</f>
        <v>9781847790149</v>
      </c>
      <c r="E16" t="s">
        <v>4</v>
      </c>
      <c r="F16" s="1">
        <v>37639</v>
      </c>
    </row>
    <row r="17" spans="1:6" x14ac:dyDescent="0.25">
      <c r="A17">
        <v>242627</v>
      </c>
      <c r="B17" t="s">
        <v>19</v>
      </c>
      <c r="C17" t="str">
        <f>"9780719057144"</f>
        <v>9780719057144</v>
      </c>
      <c r="D17" t="str">
        <f>"9781847790439"</f>
        <v>9781847790439</v>
      </c>
      <c r="E17" t="s">
        <v>4</v>
      </c>
      <c r="F17" s="1">
        <v>37870</v>
      </c>
    </row>
    <row r="18" spans="1:6" x14ac:dyDescent="0.25">
      <c r="A18">
        <v>242628</v>
      </c>
      <c r="B18" t="s">
        <v>20</v>
      </c>
      <c r="C18" t="str">
        <f>"9780719057083"</f>
        <v>9780719057083</v>
      </c>
      <c r="D18" t="str">
        <f>"9781847790187"</f>
        <v>9781847790187</v>
      </c>
      <c r="E18" t="s">
        <v>4</v>
      </c>
      <c r="F18" s="1">
        <v>37622</v>
      </c>
    </row>
    <row r="19" spans="1:6" x14ac:dyDescent="0.25">
      <c r="A19">
        <v>242629</v>
      </c>
      <c r="B19" t="s">
        <v>21</v>
      </c>
      <c r="C19" t="str">
        <f>"9780719058271"</f>
        <v>9780719058271</v>
      </c>
      <c r="D19" t="str">
        <f>"9781847790194"</f>
        <v>9781847790194</v>
      </c>
      <c r="E19" t="s">
        <v>4</v>
      </c>
      <c r="F19" s="1">
        <v>37800</v>
      </c>
    </row>
    <row r="20" spans="1:6" x14ac:dyDescent="0.25">
      <c r="A20">
        <v>242630</v>
      </c>
      <c r="B20" t="s">
        <v>22</v>
      </c>
      <c r="C20" t="str">
        <f>"9780719060960"</f>
        <v>9780719060960</v>
      </c>
      <c r="D20" t="str">
        <f>"9781847790156"</f>
        <v>9781847790156</v>
      </c>
      <c r="E20" t="s">
        <v>4</v>
      </c>
      <c r="F20" s="1">
        <v>37639</v>
      </c>
    </row>
    <row r="21" spans="1:6" x14ac:dyDescent="0.25">
      <c r="A21">
        <v>242631</v>
      </c>
      <c r="B21" t="s">
        <v>23</v>
      </c>
      <c r="C21" t="str">
        <f>"9780719062452"</f>
        <v>9780719062452</v>
      </c>
      <c r="D21" t="str">
        <f>"9781847790378"</f>
        <v>9781847790378</v>
      </c>
      <c r="E21" t="s">
        <v>4</v>
      </c>
      <c r="F21" s="1">
        <v>37622</v>
      </c>
    </row>
    <row r="22" spans="1:6" x14ac:dyDescent="0.25">
      <c r="A22">
        <v>242633</v>
      </c>
      <c r="B22" t="s">
        <v>24</v>
      </c>
      <c r="C22" t="str">
        <f>"9780719064289"</f>
        <v>9780719064289</v>
      </c>
      <c r="D22" t="str">
        <f>"9781847790569"</f>
        <v>9781847790569</v>
      </c>
      <c r="E22" t="s">
        <v>4</v>
      </c>
      <c r="F22" s="1">
        <v>37660</v>
      </c>
    </row>
    <row r="23" spans="1:6" x14ac:dyDescent="0.25">
      <c r="A23">
        <v>242634</v>
      </c>
      <c r="B23" t="s">
        <v>25</v>
      </c>
      <c r="C23" t="str">
        <f>"9780719053467"</f>
        <v>9780719053467</v>
      </c>
      <c r="D23" t="str">
        <f>"9781847790316"</f>
        <v>9781847790316</v>
      </c>
      <c r="E23" t="s">
        <v>4</v>
      </c>
      <c r="F23" s="1">
        <v>37728</v>
      </c>
    </row>
    <row r="24" spans="1:6" x14ac:dyDescent="0.25">
      <c r="A24">
        <v>242635</v>
      </c>
      <c r="B24" t="s">
        <v>26</v>
      </c>
      <c r="C24" t="str">
        <f>"9780719058936"</f>
        <v>9780719058936</v>
      </c>
      <c r="D24" t="str">
        <f>"9781847790200"</f>
        <v>9781847790200</v>
      </c>
      <c r="E24" t="s">
        <v>4</v>
      </c>
      <c r="F24" s="1">
        <v>37687</v>
      </c>
    </row>
    <row r="25" spans="1:6" x14ac:dyDescent="0.25">
      <c r="A25">
        <v>242636</v>
      </c>
      <c r="B25" t="s">
        <v>27</v>
      </c>
      <c r="C25" t="str">
        <f>"9780719063084"</f>
        <v>9780719063084</v>
      </c>
      <c r="D25" t="str">
        <f>"9781847790385"</f>
        <v>9781847790385</v>
      </c>
      <c r="E25" t="s">
        <v>4</v>
      </c>
      <c r="F25" s="1">
        <v>37870</v>
      </c>
    </row>
    <row r="26" spans="1:6" x14ac:dyDescent="0.25">
      <c r="A26">
        <v>242637</v>
      </c>
      <c r="B26" t="s">
        <v>28</v>
      </c>
      <c r="C26" t="str">
        <f>"9780719060557"</f>
        <v>9780719060557</v>
      </c>
      <c r="D26" t="str">
        <f>"9781847790132"</f>
        <v>9781847790132</v>
      </c>
      <c r="E26" t="s">
        <v>4</v>
      </c>
      <c r="F26" s="1">
        <v>37540</v>
      </c>
    </row>
    <row r="27" spans="1:6" x14ac:dyDescent="0.25">
      <c r="A27">
        <v>242638</v>
      </c>
      <c r="B27" t="s">
        <v>29</v>
      </c>
      <c r="C27" t="str">
        <f>"9780719066023"</f>
        <v>9780719066023</v>
      </c>
      <c r="D27" t="str">
        <f>"9781847790576"</f>
        <v>9781847790576</v>
      </c>
      <c r="E27" t="s">
        <v>4</v>
      </c>
      <c r="F27" s="1">
        <v>37812</v>
      </c>
    </row>
    <row r="28" spans="1:6" x14ac:dyDescent="0.25">
      <c r="A28">
        <v>242639</v>
      </c>
      <c r="B28" t="s">
        <v>30</v>
      </c>
      <c r="C28" t="str">
        <f>"9780719059773"</f>
        <v>9780719059773</v>
      </c>
      <c r="D28" t="str">
        <f>"9781847790507"</f>
        <v>9781847790507</v>
      </c>
      <c r="E28" t="s">
        <v>4</v>
      </c>
      <c r="F28" s="1">
        <v>37623</v>
      </c>
    </row>
    <row r="29" spans="1:6" x14ac:dyDescent="0.25">
      <c r="A29">
        <v>242640</v>
      </c>
      <c r="B29" t="s">
        <v>31</v>
      </c>
      <c r="C29" t="str">
        <f>"9780719063046"</f>
        <v>9780719063046</v>
      </c>
      <c r="D29" t="str">
        <f>"9781847790538"</f>
        <v>9781847790538</v>
      </c>
      <c r="E29" t="s">
        <v>4</v>
      </c>
      <c r="F29" s="1">
        <v>37884</v>
      </c>
    </row>
    <row r="30" spans="1:6" x14ac:dyDescent="0.25">
      <c r="A30">
        <v>242642</v>
      </c>
      <c r="B30" t="s">
        <v>32</v>
      </c>
      <c r="C30" t="str">
        <f>"9780719058493"</f>
        <v>9780719058493</v>
      </c>
      <c r="D30" t="str">
        <f>"9781847790491"</f>
        <v>9781847790491</v>
      </c>
      <c r="E30" t="s">
        <v>4</v>
      </c>
      <c r="F30" s="1">
        <v>37800</v>
      </c>
    </row>
    <row r="31" spans="1:6" x14ac:dyDescent="0.25">
      <c r="A31">
        <v>242643</v>
      </c>
      <c r="B31" t="s">
        <v>33</v>
      </c>
      <c r="C31" t="str">
        <f>"9780719058172"</f>
        <v>9780719058172</v>
      </c>
      <c r="D31" t="str">
        <f>"9781847790125"</f>
        <v>9781847790125</v>
      </c>
      <c r="E31" t="s">
        <v>4</v>
      </c>
      <c r="F31" s="1">
        <v>37581</v>
      </c>
    </row>
    <row r="32" spans="1:6" x14ac:dyDescent="0.25">
      <c r="A32">
        <v>242644</v>
      </c>
      <c r="B32" t="s">
        <v>34</v>
      </c>
      <c r="C32" t="str">
        <f>"9780719059087"</f>
        <v>9780719059087</v>
      </c>
      <c r="D32" t="str">
        <f>"9781847790446"</f>
        <v>9781847790446</v>
      </c>
      <c r="E32" t="s">
        <v>4</v>
      </c>
      <c r="F32" s="1">
        <v>37728</v>
      </c>
    </row>
    <row r="33" spans="1:6" x14ac:dyDescent="0.25">
      <c r="A33">
        <v>242646</v>
      </c>
      <c r="B33" t="s">
        <v>35</v>
      </c>
      <c r="C33" t="str">
        <f>"9780719060519"</f>
        <v>9780719060519</v>
      </c>
      <c r="D33" t="str">
        <f>"9781847790347"</f>
        <v>9781847790347</v>
      </c>
      <c r="E33" t="s">
        <v>4</v>
      </c>
      <c r="F33" s="1">
        <v>37835</v>
      </c>
    </row>
    <row r="34" spans="1:6" x14ac:dyDescent="0.25">
      <c r="A34">
        <v>242647</v>
      </c>
      <c r="B34" t="s">
        <v>36</v>
      </c>
      <c r="C34" t="str">
        <f>"9780719061387"</f>
        <v>9780719061387</v>
      </c>
      <c r="D34" t="str">
        <f>"9781847790354"</f>
        <v>9781847790354</v>
      </c>
      <c r="E34" t="s">
        <v>4</v>
      </c>
      <c r="F34" s="1">
        <v>37749</v>
      </c>
    </row>
    <row r="35" spans="1:6" x14ac:dyDescent="0.25">
      <c r="A35">
        <v>242649</v>
      </c>
      <c r="B35" t="s">
        <v>37</v>
      </c>
      <c r="C35" t="str">
        <f>"9780719062261"</f>
        <v>9780719062261</v>
      </c>
      <c r="D35" t="str">
        <f>"9781847790262"</f>
        <v>9781847790262</v>
      </c>
      <c r="E35" t="s">
        <v>4</v>
      </c>
      <c r="F35" s="1">
        <v>37730</v>
      </c>
    </row>
    <row r="36" spans="1:6" x14ac:dyDescent="0.25">
      <c r="A36">
        <v>242650</v>
      </c>
      <c r="B36" t="s">
        <v>38</v>
      </c>
      <c r="C36" t="str">
        <f>"9780719062308"</f>
        <v>9780719062308</v>
      </c>
      <c r="D36" t="str">
        <f>"9781847790361"</f>
        <v>9781847790361</v>
      </c>
      <c r="E36" t="s">
        <v>4</v>
      </c>
      <c r="F36" s="1">
        <v>37791</v>
      </c>
    </row>
    <row r="37" spans="1:6" x14ac:dyDescent="0.25">
      <c r="A37">
        <v>242651</v>
      </c>
      <c r="B37" t="s">
        <v>39</v>
      </c>
      <c r="C37" t="str">
        <f>"9780719062339"</f>
        <v>9780719062339</v>
      </c>
      <c r="D37" t="str">
        <f>"9781847790163"</f>
        <v>9781847790163</v>
      </c>
      <c r="E37" t="s">
        <v>4</v>
      </c>
      <c r="F37" s="1">
        <v>37539</v>
      </c>
    </row>
    <row r="38" spans="1:6" x14ac:dyDescent="0.25">
      <c r="A38">
        <v>242652</v>
      </c>
      <c r="B38" t="s">
        <v>40</v>
      </c>
      <c r="C38" t="str">
        <f>"9780719062407"</f>
        <v>9780719062407</v>
      </c>
      <c r="D38" t="str">
        <f>"9781847790170"</f>
        <v>9781847790170</v>
      </c>
      <c r="E38" t="s">
        <v>4</v>
      </c>
      <c r="F38" s="1">
        <v>37476</v>
      </c>
    </row>
    <row r="39" spans="1:6" x14ac:dyDescent="0.25">
      <c r="A39">
        <v>242653</v>
      </c>
      <c r="B39" t="s">
        <v>41</v>
      </c>
      <c r="C39" t="str">
        <f>"9780719062414"</f>
        <v>9780719062414</v>
      </c>
      <c r="D39" t="str">
        <f>"9781847790460"</f>
        <v>9781847790460</v>
      </c>
      <c r="E39" t="s">
        <v>4</v>
      </c>
      <c r="F39" s="1">
        <v>37622</v>
      </c>
    </row>
    <row r="40" spans="1:6" x14ac:dyDescent="0.25">
      <c r="A40">
        <v>242655</v>
      </c>
      <c r="B40" t="s">
        <v>42</v>
      </c>
      <c r="C40" t="str">
        <f>"9780719063428"</f>
        <v>9780719063428</v>
      </c>
      <c r="D40" t="str">
        <f>"9781847790224"</f>
        <v>9781847790224</v>
      </c>
      <c r="E40" t="s">
        <v>4</v>
      </c>
      <c r="F40" s="1">
        <v>37800</v>
      </c>
    </row>
    <row r="41" spans="1:6" x14ac:dyDescent="0.25">
      <c r="A41">
        <v>242656</v>
      </c>
      <c r="B41" t="s">
        <v>43</v>
      </c>
      <c r="C41" t="str">
        <f>"9780719063749"</f>
        <v>9780719063749</v>
      </c>
      <c r="D41" t="str">
        <f>"9781847790408"</f>
        <v>9781847790408</v>
      </c>
      <c r="E41" t="s">
        <v>4</v>
      </c>
      <c r="F41" s="1">
        <v>37728</v>
      </c>
    </row>
    <row r="42" spans="1:6" x14ac:dyDescent="0.25">
      <c r="A42">
        <v>242657</v>
      </c>
      <c r="B42" t="s">
        <v>44</v>
      </c>
      <c r="C42" t="str">
        <f>"9780719064869"</f>
        <v>9780719064869</v>
      </c>
      <c r="D42" t="str">
        <f>"9781847790231"</f>
        <v>9781847790231</v>
      </c>
      <c r="E42" t="s">
        <v>4</v>
      </c>
      <c r="F42" s="1">
        <v>37707</v>
      </c>
    </row>
    <row r="43" spans="1:6" x14ac:dyDescent="0.25">
      <c r="A43">
        <v>242658</v>
      </c>
      <c r="B43" t="s">
        <v>45</v>
      </c>
      <c r="C43" t="str">
        <f>"9780719064883"</f>
        <v>9780719064883</v>
      </c>
      <c r="D43" t="str">
        <f>"9781847790309"</f>
        <v>9781847790309</v>
      </c>
      <c r="E43" t="s">
        <v>4</v>
      </c>
      <c r="F43" s="1">
        <v>37800</v>
      </c>
    </row>
    <row r="44" spans="1:6" x14ac:dyDescent="0.25">
      <c r="A44">
        <v>298859</v>
      </c>
      <c r="B44" t="s">
        <v>46</v>
      </c>
      <c r="C44" t="str">
        <f>"9781592134908"</f>
        <v>9781592134908</v>
      </c>
      <c r="D44" t="str">
        <f>"9781592134922"</f>
        <v>9781592134922</v>
      </c>
      <c r="E44" t="s">
        <v>47</v>
      </c>
      <c r="F44" s="1">
        <v>39094</v>
      </c>
    </row>
    <row r="45" spans="1:6" x14ac:dyDescent="0.25">
      <c r="A45">
        <v>298869</v>
      </c>
      <c r="B45" t="s">
        <v>48</v>
      </c>
      <c r="C45" t="str">
        <f>"9781592131433"</f>
        <v>9781592131433</v>
      </c>
      <c r="D45" t="str">
        <f>"9781592131457"</f>
        <v>9781592131457</v>
      </c>
      <c r="E45" t="s">
        <v>47</v>
      </c>
      <c r="F45" s="1">
        <v>38517</v>
      </c>
    </row>
    <row r="46" spans="1:6" x14ac:dyDescent="0.25">
      <c r="A46">
        <v>298872</v>
      </c>
      <c r="B46" t="s">
        <v>49</v>
      </c>
      <c r="C46" t="str">
        <f>"9781592134717"</f>
        <v>9781592134717</v>
      </c>
      <c r="D46" t="str">
        <f>"9781592134731"</f>
        <v>9781592134731</v>
      </c>
      <c r="E46" t="s">
        <v>47</v>
      </c>
      <c r="F46" s="1">
        <v>38884</v>
      </c>
    </row>
    <row r="47" spans="1:6" x14ac:dyDescent="0.25">
      <c r="A47">
        <v>361675</v>
      </c>
      <c r="B47" t="s">
        <v>50</v>
      </c>
      <c r="C47" t="str">
        <f>"9780813543635"</f>
        <v>9780813543635</v>
      </c>
      <c r="D47" t="str">
        <f>"9780813545608"</f>
        <v>9780813545608</v>
      </c>
      <c r="E47" t="s">
        <v>51</v>
      </c>
      <c r="F47" s="1">
        <v>39700</v>
      </c>
    </row>
    <row r="48" spans="1:6" x14ac:dyDescent="0.25">
      <c r="A48">
        <v>364700</v>
      </c>
      <c r="B48" t="s">
        <v>52</v>
      </c>
      <c r="C48" t="str">
        <f>"9783598220388"</f>
        <v>9783598220388</v>
      </c>
      <c r="D48" t="str">
        <f>"9783598440953"</f>
        <v>9783598440953</v>
      </c>
      <c r="E48" t="s">
        <v>53</v>
      </c>
      <c r="F48" s="1">
        <v>39588</v>
      </c>
    </row>
    <row r="49" spans="1:6" x14ac:dyDescent="0.25">
      <c r="A49">
        <v>370720</v>
      </c>
      <c r="B49" t="s">
        <v>54</v>
      </c>
      <c r="C49" t="str">
        <f>"9783598220333"</f>
        <v>9783598220333</v>
      </c>
      <c r="D49" t="str">
        <f>"9783598440281"</f>
        <v>9783598440281</v>
      </c>
      <c r="E49" t="s">
        <v>53</v>
      </c>
      <c r="F49" s="1">
        <v>39308</v>
      </c>
    </row>
    <row r="50" spans="1:6" x14ac:dyDescent="0.25">
      <c r="A50">
        <v>429245</v>
      </c>
      <c r="B50" t="s">
        <v>55</v>
      </c>
      <c r="C50" t="str">
        <f>"9783598220401"</f>
        <v>9783598220401</v>
      </c>
      <c r="D50" t="str">
        <f>"9783598441257"</f>
        <v>9783598441257</v>
      </c>
      <c r="E50" t="s">
        <v>53</v>
      </c>
      <c r="F50" s="1">
        <v>39801</v>
      </c>
    </row>
    <row r="51" spans="1:6" x14ac:dyDescent="0.25">
      <c r="A51">
        <v>429396</v>
      </c>
      <c r="B51" t="s">
        <v>56</v>
      </c>
      <c r="C51" t="str">
        <f>"9783110205411"</f>
        <v>9783110205411</v>
      </c>
      <c r="D51" t="str">
        <f>"9783110210330"</f>
        <v>9783110210330</v>
      </c>
      <c r="E51" t="s">
        <v>53</v>
      </c>
      <c r="F51" s="1">
        <v>39741</v>
      </c>
    </row>
    <row r="52" spans="1:6" x14ac:dyDescent="0.25">
      <c r="A52">
        <v>429425</v>
      </c>
      <c r="B52" t="s">
        <v>57</v>
      </c>
      <c r="C52" t="str">
        <f>"9783110202960"</f>
        <v>9783110202960</v>
      </c>
      <c r="D52" t="str">
        <f>"9783110210682"</f>
        <v>9783110210682</v>
      </c>
      <c r="E52" t="s">
        <v>53</v>
      </c>
      <c r="F52" s="1">
        <v>39741</v>
      </c>
    </row>
    <row r="53" spans="1:6" x14ac:dyDescent="0.25">
      <c r="A53">
        <v>435506</v>
      </c>
      <c r="B53" t="s">
        <v>58</v>
      </c>
      <c r="C53" t="str">
        <f>"9789089640390"</f>
        <v>9789089640390</v>
      </c>
      <c r="D53" t="str">
        <f>"9789048506149"</f>
        <v>9789048506149</v>
      </c>
      <c r="E53" t="s">
        <v>59</v>
      </c>
      <c r="F53" s="1">
        <v>40827</v>
      </c>
    </row>
    <row r="54" spans="1:6" x14ac:dyDescent="0.25">
      <c r="A54">
        <v>449818</v>
      </c>
      <c r="B54" t="s">
        <v>60</v>
      </c>
      <c r="C54" t="str">
        <f>"9781439900314"</f>
        <v>9781439900314</v>
      </c>
      <c r="D54" t="str">
        <f>"9781439900338"</f>
        <v>9781439900338</v>
      </c>
      <c r="E54" t="s">
        <v>47</v>
      </c>
      <c r="F54" s="1">
        <v>40081</v>
      </c>
    </row>
    <row r="55" spans="1:6" x14ac:dyDescent="0.25">
      <c r="A55">
        <v>449832</v>
      </c>
      <c r="B55" t="s">
        <v>61</v>
      </c>
      <c r="C55" t="str">
        <f>"9781439900543"</f>
        <v>9781439900543</v>
      </c>
      <c r="D55" t="str">
        <f>"9781439900567"</f>
        <v>9781439900567</v>
      </c>
      <c r="E55" t="s">
        <v>47</v>
      </c>
      <c r="F55" s="1">
        <v>40114</v>
      </c>
    </row>
    <row r="56" spans="1:6" x14ac:dyDescent="0.25">
      <c r="A56">
        <v>453791</v>
      </c>
      <c r="B56" t="s">
        <v>62</v>
      </c>
      <c r="C56" t="str">
        <f>"9783598220425"</f>
        <v>9783598220425</v>
      </c>
      <c r="D56" t="str">
        <f>"9783598441349"</f>
        <v>9783598441349</v>
      </c>
      <c r="E56" t="s">
        <v>53</v>
      </c>
      <c r="F56" s="1">
        <v>39923</v>
      </c>
    </row>
    <row r="57" spans="1:6" x14ac:dyDescent="0.25">
      <c r="A57">
        <v>453858</v>
      </c>
      <c r="B57" t="s">
        <v>63</v>
      </c>
      <c r="C57" t="str">
        <f>"9783598220432"</f>
        <v>9783598220432</v>
      </c>
      <c r="D57" t="str">
        <f>"9783598441677"</f>
        <v>9783598441677</v>
      </c>
      <c r="E57" t="s">
        <v>53</v>
      </c>
      <c r="F57" s="1">
        <v>39923</v>
      </c>
    </row>
    <row r="58" spans="1:6" x14ac:dyDescent="0.25">
      <c r="A58">
        <v>453870</v>
      </c>
      <c r="B58" t="s">
        <v>64</v>
      </c>
      <c r="C58" t="str">
        <f>"9783110203639"</f>
        <v>9783110203639</v>
      </c>
      <c r="D58" t="str">
        <f>"9783110216615"</f>
        <v>9783110216615</v>
      </c>
      <c r="E58" t="s">
        <v>53</v>
      </c>
      <c r="F58" s="1">
        <v>39981</v>
      </c>
    </row>
    <row r="59" spans="1:6" x14ac:dyDescent="0.25">
      <c r="A59">
        <v>453986</v>
      </c>
      <c r="B59" t="s">
        <v>65</v>
      </c>
      <c r="C59" t="str">
        <f>"9783598220449"</f>
        <v>9783598220449</v>
      </c>
      <c r="D59" t="str">
        <f>"9783598441776"</f>
        <v>9783598441776</v>
      </c>
      <c r="E59" t="s">
        <v>53</v>
      </c>
      <c r="F59" s="1">
        <v>40023</v>
      </c>
    </row>
    <row r="60" spans="1:6" x14ac:dyDescent="0.25">
      <c r="A60">
        <v>511791</v>
      </c>
      <c r="B60" t="s">
        <v>66</v>
      </c>
      <c r="C60" t="str">
        <f>"9783110206463"</f>
        <v>9783110206463</v>
      </c>
      <c r="D60" t="str">
        <f>"9783110216585"</f>
        <v>9783110216585</v>
      </c>
      <c r="E60" t="s">
        <v>53</v>
      </c>
      <c r="F60" s="1">
        <v>40162</v>
      </c>
    </row>
    <row r="61" spans="1:6" x14ac:dyDescent="0.25">
      <c r="A61">
        <v>511812</v>
      </c>
      <c r="B61" t="s">
        <v>67</v>
      </c>
      <c r="C61" t="str">
        <f>"9783598251238"</f>
        <v>9783598251238</v>
      </c>
      <c r="D61" t="str">
        <f>"9783598441363"</f>
        <v>9783598441363</v>
      </c>
      <c r="E61" t="s">
        <v>53</v>
      </c>
      <c r="F61" s="1">
        <v>40072</v>
      </c>
    </row>
    <row r="62" spans="1:6" x14ac:dyDescent="0.25">
      <c r="A62">
        <v>511856</v>
      </c>
      <c r="B62" t="s">
        <v>68</v>
      </c>
      <c r="C62" t="str">
        <f>"9783598220456"</f>
        <v>9783598220456</v>
      </c>
      <c r="D62" t="str">
        <f>"9783598441783"</f>
        <v>9783598441783</v>
      </c>
      <c r="E62" t="s">
        <v>53</v>
      </c>
      <c r="F62" s="1">
        <v>40161</v>
      </c>
    </row>
    <row r="63" spans="1:6" x14ac:dyDescent="0.25">
      <c r="A63">
        <v>516519</v>
      </c>
      <c r="B63" t="s">
        <v>69</v>
      </c>
      <c r="C63" t="str">
        <f>"9783598220463"</f>
        <v>9783598220463</v>
      </c>
      <c r="D63" t="str">
        <f>"9783598441790"</f>
        <v>9783598441790</v>
      </c>
      <c r="E63" t="s">
        <v>53</v>
      </c>
      <c r="F63" s="1">
        <v>40263</v>
      </c>
    </row>
    <row r="64" spans="1:6" x14ac:dyDescent="0.25">
      <c r="A64">
        <v>533665</v>
      </c>
      <c r="B64" t="s">
        <v>70</v>
      </c>
      <c r="C64" t="str">
        <f>"9783110200560"</f>
        <v>9783110200560</v>
      </c>
      <c r="D64" t="str">
        <f>"9783110210606"</f>
        <v>9783110210606</v>
      </c>
      <c r="E64" t="s">
        <v>53</v>
      </c>
      <c r="F64" s="1">
        <v>40287</v>
      </c>
    </row>
    <row r="65" spans="1:6" x14ac:dyDescent="0.25">
      <c r="A65">
        <v>548102</v>
      </c>
      <c r="B65" t="s">
        <v>71</v>
      </c>
      <c r="C65" t="str">
        <f>"9783598251269"</f>
        <v>9783598251269</v>
      </c>
      <c r="D65" t="str">
        <f>"9783110232356"</f>
        <v>9783110232356</v>
      </c>
      <c r="E65" t="s">
        <v>53</v>
      </c>
      <c r="F65" s="1">
        <v>40317</v>
      </c>
    </row>
    <row r="66" spans="1:6" x14ac:dyDescent="0.25">
      <c r="A66">
        <v>555752</v>
      </c>
      <c r="B66" t="s">
        <v>72</v>
      </c>
      <c r="C66" t="str">
        <f>"9783110232141"</f>
        <v>9783110232141</v>
      </c>
      <c r="D66" t="str">
        <f>"9783110232158"</f>
        <v>9783110232158</v>
      </c>
      <c r="E66" t="s">
        <v>73</v>
      </c>
      <c r="F66" s="1">
        <v>40357</v>
      </c>
    </row>
    <row r="67" spans="1:6" x14ac:dyDescent="0.25">
      <c r="A67">
        <v>570584</v>
      </c>
      <c r="B67" t="s">
        <v>74</v>
      </c>
      <c r="C67" t="str">
        <f>"9783110232264"</f>
        <v>9783110232264</v>
      </c>
      <c r="D67" t="str">
        <f>"9783110232271"</f>
        <v>9783110232271</v>
      </c>
      <c r="E67" t="s">
        <v>73</v>
      </c>
      <c r="F67" s="1">
        <v>40375</v>
      </c>
    </row>
    <row r="68" spans="1:6" x14ac:dyDescent="0.25">
      <c r="A68">
        <v>589292</v>
      </c>
      <c r="B68" t="s">
        <v>75</v>
      </c>
      <c r="C68" t="str">
        <f>"9780719062421"</f>
        <v>9780719062421</v>
      </c>
      <c r="D68" t="str">
        <f>"9781847791252"</f>
        <v>9781847791252</v>
      </c>
      <c r="E68" t="s">
        <v>4</v>
      </c>
      <c r="F68" s="1">
        <v>38050</v>
      </c>
    </row>
    <row r="69" spans="1:6" x14ac:dyDescent="0.25">
      <c r="A69">
        <v>589293</v>
      </c>
      <c r="B69" t="s">
        <v>76</v>
      </c>
      <c r="C69" t="str">
        <f>"9780719066948"</f>
        <v>9780719066948</v>
      </c>
      <c r="D69" t="str">
        <f>"9781847791016"</f>
        <v>9781847791016</v>
      </c>
      <c r="E69" t="s">
        <v>4</v>
      </c>
      <c r="F69" s="1">
        <v>38267</v>
      </c>
    </row>
    <row r="70" spans="1:6" x14ac:dyDescent="0.25">
      <c r="A70">
        <v>589294</v>
      </c>
      <c r="B70" t="s">
        <v>77</v>
      </c>
      <c r="C70" t="str">
        <f>"9780719061516"</f>
        <v>9780719061516</v>
      </c>
      <c r="D70" t="str">
        <f>"9781847790651"</f>
        <v>9781847790651</v>
      </c>
      <c r="E70" t="s">
        <v>4</v>
      </c>
      <c r="F70" s="1">
        <v>37833</v>
      </c>
    </row>
    <row r="71" spans="1:6" x14ac:dyDescent="0.25">
      <c r="A71">
        <v>589295</v>
      </c>
      <c r="B71" t="s">
        <v>78</v>
      </c>
      <c r="C71" t="str">
        <f>"9780719060014"</f>
        <v>9780719060014</v>
      </c>
      <c r="D71" t="str">
        <f>"9781847790965"</f>
        <v>9781847790965</v>
      </c>
      <c r="E71" t="s">
        <v>4</v>
      </c>
      <c r="F71" s="1">
        <v>38246</v>
      </c>
    </row>
    <row r="72" spans="1:6" x14ac:dyDescent="0.25">
      <c r="A72">
        <v>589296</v>
      </c>
      <c r="B72" t="s">
        <v>79</v>
      </c>
      <c r="C72" t="str">
        <f>"9780719066580"</f>
        <v>9780719066580</v>
      </c>
      <c r="D72" t="str">
        <f>"9781847790996"</f>
        <v>9781847790996</v>
      </c>
      <c r="E72" t="s">
        <v>4</v>
      </c>
      <c r="F72" s="1">
        <v>38246</v>
      </c>
    </row>
    <row r="73" spans="1:6" x14ac:dyDescent="0.25">
      <c r="A73">
        <v>589298</v>
      </c>
      <c r="B73" t="s">
        <v>80</v>
      </c>
      <c r="C73" t="str">
        <f>"9780719062988"</f>
        <v>9780719062988</v>
      </c>
      <c r="D73" t="str">
        <f>"9781847790705"</f>
        <v>9781847790705</v>
      </c>
      <c r="E73" t="s">
        <v>4</v>
      </c>
      <c r="F73" s="1">
        <v>38094</v>
      </c>
    </row>
    <row r="74" spans="1:6" x14ac:dyDescent="0.25">
      <c r="A74">
        <v>589299</v>
      </c>
      <c r="B74" t="s">
        <v>81</v>
      </c>
      <c r="C74" t="str">
        <f>"9780719067181"</f>
        <v>9780719067181</v>
      </c>
      <c r="D74" t="str">
        <f>"9781847790880"</f>
        <v>9781847790880</v>
      </c>
      <c r="E74" t="s">
        <v>4</v>
      </c>
      <c r="F74" s="1">
        <v>37938</v>
      </c>
    </row>
    <row r="75" spans="1:6" x14ac:dyDescent="0.25">
      <c r="A75">
        <v>589300</v>
      </c>
      <c r="B75" t="s">
        <v>82</v>
      </c>
      <c r="C75" t="str">
        <f>"9780719060038"</f>
        <v>9780719060038</v>
      </c>
      <c r="D75" t="str">
        <f>"9781847790606"</f>
        <v>9781847790606</v>
      </c>
      <c r="E75" t="s">
        <v>4</v>
      </c>
      <c r="F75" s="1">
        <v>37933</v>
      </c>
    </row>
    <row r="76" spans="1:6" x14ac:dyDescent="0.25">
      <c r="A76">
        <v>589301</v>
      </c>
      <c r="B76" t="s">
        <v>83</v>
      </c>
      <c r="C76" t="str">
        <f>"9780719066047"</f>
        <v>9780719066047</v>
      </c>
      <c r="D76" t="str">
        <f>"9781847790866"</f>
        <v>9781847790866</v>
      </c>
      <c r="E76" t="s">
        <v>4</v>
      </c>
      <c r="F76" s="1">
        <v>37812</v>
      </c>
    </row>
    <row r="77" spans="1:6" x14ac:dyDescent="0.25">
      <c r="A77">
        <v>589302</v>
      </c>
      <c r="B77" t="s">
        <v>84</v>
      </c>
      <c r="C77" t="str">
        <f>"9780719061042"</f>
        <v>9780719061042</v>
      </c>
      <c r="D77" t="str">
        <f>"9781847790620"</f>
        <v>9781847790620</v>
      </c>
      <c r="E77" t="s">
        <v>4</v>
      </c>
      <c r="F77" s="1">
        <v>37379</v>
      </c>
    </row>
    <row r="78" spans="1:6" x14ac:dyDescent="0.25">
      <c r="A78">
        <v>589303</v>
      </c>
      <c r="B78" t="s">
        <v>85</v>
      </c>
      <c r="C78" t="str">
        <f>"9780719061592"</f>
        <v>9780719061592</v>
      </c>
      <c r="D78" t="str">
        <f>"9781847790668"</f>
        <v>9781847790668</v>
      </c>
      <c r="E78" t="s">
        <v>4</v>
      </c>
      <c r="F78" s="1">
        <v>37933</v>
      </c>
    </row>
    <row r="79" spans="1:6" x14ac:dyDescent="0.25">
      <c r="A79">
        <v>589304</v>
      </c>
      <c r="B79" t="s">
        <v>86</v>
      </c>
      <c r="C79" t="str">
        <f>"9780719059797"</f>
        <v>9780719059797</v>
      </c>
      <c r="D79" t="str">
        <f>"9781847791283"</f>
        <v>9781847791283</v>
      </c>
      <c r="E79" t="s">
        <v>4</v>
      </c>
      <c r="F79" s="1">
        <v>37918</v>
      </c>
    </row>
    <row r="80" spans="1:6" x14ac:dyDescent="0.25">
      <c r="A80">
        <v>589305</v>
      </c>
      <c r="B80" t="s">
        <v>87</v>
      </c>
      <c r="C80" t="str">
        <f>"9780719065989"</f>
        <v>9780719065989</v>
      </c>
      <c r="D80" t="str">
        <f>"9781847790859"</f>
        <v>9781847790859</v>
      </c>
      <c r="E80" t="s">
        <v>4</v>
      </c>
      <c r="F80" s="1">
        <v>38036</v>
      </c>
    </row>
    <row r="81" spans="1:6" x14ac:dyDescent="0.25">
      <c r="A81">
        <v>589306</v>
      </c>
      <c r="B81" t="s">
        <v>88</v>
      </c>
      <c r="C81" t="str">
        <f>"9780719063305"</f>
        <v>9780719063305</v>
      </c>
      <c r="D81" t="str">
        <f>"9781847790712"</f>
        <v>9781847790712</v>
      </c>
      <c r="E81" t="s">
        <v>4</v>
      </c>
      <c r="F81" s="1">
        <v>37938</v>
      </c>
    </row>
    <row r="82" spans="1:6" x14ac:dyDescent="0.25">
      <c r="A82">
        <v>589307</v>
      </c>
      <c r="B82" t="s">
        <v>89</v>
      </c>
      <c r="C82" t="str">
        <f>"9780719068546"</f>
        <v>9780719068546</v>
      </c>
      <c r="D82" t="str">
        <f>"9781847791054"</f>
        <v>9781847791054</v>
      </c>
      <c r="E82" t="s">
        <v>4</v>
      </c>
      <c r="F82" s="1">
        <v>38288</v>
      </c>
    </row>
    <row r="83" spans="1:6" x14ac:dyDescent="0.25">
      <c r="A83">
        <v>589308</v>
      </c>
      <c r="B83" t="s">
        <v>90</v>
      </c>
      <c r="C83" t="str">
        <f>"9780719065583"</f>
        <v>9780719065583</v>
      </c>
      <c r="D83" t="str">
        <f>"9781847790828"</f>
        <v>9781847790828</v>
      </c>
      <c r="E83" t="s">
        <v>4</v>
      </c>
      <c r="F83" s="1">
        <v>37917</v>
      </c>
    </row>
    <row r="84" spans="1:6" x14ac:dyDescent="0.25">
      <c r="A84">
        <v>589309</v>
      </c>
      <c r="B84" t="s">
        <v>91</v>
      </c>
      <c r="C84" t="str">
        <f>"9780719067488"</f>
        <v>9780719067488</v>
      </c>
      <c r="D84" t="str">
        <f>"9781847790910"</f>
        <v>9781847790910</v>
      </c>
      <c r="E84" t="s">
        <v>4</v>
      </c>
      <c r="F84" s="1">
        <v>38050</v>
      </c>
    </row>
    <row r="85" spans="1:6" x14ac:dyDescent="0.25">
      <c r="A85">
        <v>589311</v>
      </c>
      <c r="B85" t="s">
        <v>92</v>
      </c>
      <c r="C85" t="str">
        <f>"9780719064388"</f>
        <v>9780719064388</v>
      </c>
      <c r="D85" t="str">
        <f>"9781847790743"</f>
        <v>9781847790743</v>
      </c>
      <c r="E85" t="s">
        <v>4</v>
      </c>
      <c r="F85" s="1">
        <v>37881</v>
      </c>
    </row>
    <row r="86" spans="1:6" x14ac:dyDescent="0.25">
      <c r="A86">
        <v>589312</v>
      </c>
      <c r="B86" t="s">
        <v>93</v>
      </c>
      <c r="C86" t="str">
        <f>"9780719067402"</f>
        <v>9780719067402</v>
      </c>
      <c r="D86" t="str">
        <f>"9781847790903"</f>
        <v>9781847790903</v>
      </c>
      <c r="E86" t="s">
        <v>4</v>
      </c>
      <c r="F86" s="1">
        <v>38050</v>
      </c>
    </row>
    <row r="87" spans="1:6" x14ac:dyDescent="0.25">
      <c r="A87">
        <v>589313</v>
      </c>
      <c r="B87" t="s">
        <v>94</v>
      </c>
      <c r="C87" t="str">
        <f>"9780719065026"</f>
        <v>9780719065026</v>
      </c>
      <c r="D87" t="str">
        <f>"9781847790781"</f>
        <v>9781847790781</v>
      </c>
      <c r="E87" t="s">
        <v>4</v>
      </c>
      <c r="F87" s="1">
        <v>38080</v>
      </c>
    </row>
    <row r="88" spans="1:6" x14ac:dyDescent="0.25">
      <c r="A88">
        <v>589314</v>
      </c>
      <c r="B88" t="s">
        <v>95</v>
      </c>
      <c r="C88" t="str">
        <f>"9780719064401"</f>
        <v>9780719064401</v>
      </c>
      <c r="D88" t="str">
        <f>"9781847790750"</f>
        <v>9781847790750</v>
      </c>
      <c r="E88" t="s">
        <v>4</v>
      </c>
      <c r="F88" s="1">
        <v>38080</v>
      </c>
    </row>
    <row r="89" spans="1:6" x14ac:dyDescent="0.25">
      <c r="A89">
        <v>589315</v>
      </c>
      <c r="B89" t="s">
        <v>96</v>
      </c>
      <c r="C89" t="str">
        <f>"9780719065309"</f>
        <v>9780719065309</v>
      </c>
      <c r="D89" t="str">
        <f>"9781847790804"</f>
        <v>9781847790804</v>
      </c>
      <c r="E89" t="s">
        <v>4</v>
      </c>
      <c r="F89" s="1">
        <v>38094</v>
      </c>
    </row>
    <row r="90" spans="1:6" x14ac:dyDescent="0.25">
      <c r="A90">
        <v>589316</v>
      </c>
      <c r="B90" t="s">
        <v>97</v>
      </c>
      <c r="C90" t="str">
        <f>"9780719062438"</f>
        <v>9780719062438</v>
      </c>
      <c r="D90" t="str">
        <f>"9781847790699"</f>
        <v>9781847790699</v>
      </c>
      <c r="E90" t="s">
        <v>4</v>
      </c>
      <c r="F90" s="1">
        <v>38413</v>
      </c>
    </row>
    <row r="91" spans="1:6" x14ac:dyDescent="0.25">
      <c r="A91">
        <v>589317</v>
      </c>
      <c r="B91" t="s">
        <v>98</v>
      </c>
      <c r="C91" t="str">
        <f>"9780719070105"</f>
        <v>9780719070105</v>
      </c>
      <c r="D91" t="str">
        <f>"9781847791078"</f>
        <v>9781847791078</v>
      </c>
      <c r="E91" t="s">
        <v>4</v>
      </c>
      <c r="F91" s="1">
        <v>38267</v>
      </c>
    </row>
    <row r="92" spans="1:6" x14ac:dyDescent="0.25">
      <c r="A92">
        <v>589318</v>
      </c>
      <c r="B92" t="s">
        <v>99</v>
      </c>
      <c r="C92" t="str">
        <f>"9780719061196"</f>
        <v>9780719061196</v>
      </c>
      <c r="D92" t="str">
        <f>"9781847790644"</f>
        <v>9781847790644</v>
      </c>
      <c r="E92" t="s">
        <v>4</v>
      </c>
      <c r="F92" s="1">
        <v>37833</v>
      </c>
    </row>
    <row r="93" spans="1:6" x14ac:dyDescent="0.25">
      <c r="A93">
        <v>589319</v>
      </c>
      <c r="B93" t="s">
        <v>100</v>
      </c>
      <c r="C93" t="str">
        <f>"9780719043642"</f>
        <v>9780719043642</v>
      </c>
      <c r="D93" t="str">
        <f>"9781847790583"</f>
        <v>9781847790583</v>
      </c>
      <c r="E93" t="s">
        <v>4</v>
      </c>
      <c r="F93" s="1">
        <v>38101</v>
      </c>
    </row>
    <row r="94" spans="1:6" x14ac:dyDescent="0.25">
      <c r="A94">
        <v>589320</v>
      </c>
      <c r="B94" t="s">
        <v>101</v>
      </c>
      <c r="C94" t="str">
        <f>"9780719064760"</f>
        <v>9780719064760</v>
      </c>
      <c r="D94" t="str">
        <f>"9781847790774"</f>
        <v>9781847790774</v>
      </c>
      <c r="E94" t="s">
        <v>4</v>
      </c>
      <c r="F94" s="1">
        <v>38094</v>
      </c>
    </row>
    <row r="95" spans="1:6" x14ac:dyDescent="0.25">
      <c r="A95">
        <v>589321</v>
      </c>
      <c r="B95" t="s">
        <v>102</v>
      </c>
      <c r="C95" t="str">
        <f>"9780719069765"</f>
        <v>9780719069765</v>
      </c>
      <c r="D95" t="str">
        <f>"9781847791061"</f>
        <v>9781847791061</v>
      </c>
      <c r="E95" t="s">
        <v>4</v>
      </c>
      <c r="F95" s="1">
        <v>38353</v>
      </c>
    </row>
    <row r="96" spans="1:6" x14ac:dyDescent="0.25">
      <c r="A96">
        <v>589322</v>
      </c>
      <c r="B96" t="s">
        <v>103</v>
      </c>
      <c r="C96" t="str">
        <f>"9780719065323"</f>
        <v>9780719065323</v>
      </c>
      <c r="D96" t="str">
        <f>"9781847790811"</f>
        <v>9781847790811</v>
      </c>
      <c r="E96" t="s">
        <v>4</v>
      </c>
      <c r="F96" s="1">
        <v>37933</v>
      </c>
    </row>
    <row r="97" spans="1:6" x14ac:dyDescent="0.25">
      <c r="A97">
        <v>589323</v>
      </c>
      <c r="B97" t="s">
        <v>104</v>
      </c>
      <c r="C97" t="str">
        <f>"9780719065286"</f>
        <v>9780719065286</v>
      </c>
      <c r="D97" t="str">
        <f>"9781847790798"</f>
        <v>9781847790798</v>
      </c>
      <c r="E97" t="s">
        <v>4</v>
      </c>
      <c r="F97" s="1">
        <v>38050</v>
      </c>
    </row>
    <row r="98" spans="1:6" x14ac:dyDescent="0.25">
      <c r="A98">
        <v>589324</v>
      </c>
      <c r="B98" t="s">
        <v>105</v>
      </c>
      <c r="C98" t="str">
        <f>"9780719062353"</f>
        <v>9780719062353</v>
      </c>
      <c r="D98" t="str">
        <f>"9781847790675"</f>
        <v>9781847790675</v>
      </c>
      <c r="E98" t="s">
        <v>4</v>
      </c>
      <c r="F98" s="1">
        <v>37442</v>
      </c>
    </row>
    <row r="99" spans="1:6" x14ac:dyDescent="0.25">
      <c r="A99">
        <v>589325</v>
      </c>
      <c r="B99" t="s">
        <v>106</v>
      </c>
      <c r="C99" t="str">
        <f>"9780719067082"</f>
        <v>9780719067082</v>
      </c>
      <c r="D99" t="str">
        <f>"9781847791023"</f>
        <v>9781847791023</v>
      </c>
      <c r="E99" t="s">
        <v>4</v>
      </c>
      <c r="F99" s="1">
        <v>38413</v>
      </c>
    </row>
    <row r="100" spans="1:6" x14ac:dyDescent="0.25">
      <c r="A100">
        <v>589326</v>
      </c>
      <c r="B100" t="s">
        <v>107</v>
      </c>
      <c r="C100" t="str">
        <f>"9780719069024"</f>
        <v>9780719069024</v>
      </c>
      <c r="D100" t="str">
        <f>"9781847790941"</f>
        <v>9781847790941</v>
      </c>
      <c r="E100" t="s">
        <v>4</v>
      </c>
      <c r="F100" s="1">
        <v>38057</v>
      </c>
    </row>
    <row r="101" spans="1:6" x14ac:dyDescent="0.25">
      <c r="A101">
        <v>589327</v>
      </c>
      <c r="B101" t="s">
        <v>108</v>
      </c>
      <c r="C101" t="str">
        <f>"9780719060182"</f>
        <v>9780719060182</v>
      </c>
      <c r="D101" t="str">
        <f>"9781847790613"</f>
        <v>9781847790613</v>
      </c>
      <c r="E101" t="s">
        <v>4</v>
      </c>
      <c r="F101" s="1">
        <v>38094</v>
      </c>
    </row>
    <row r="102" spans="1:6" x14ac:dyDescent="0.25">
      <c r="A102">
        <v>589328</v>
      </c>
      <c r="B102" t="s">
        <v>109</v>
      </c>
      <c r="C102" t="str">
        <f>"9780719063183"</f>
        <v>9780719063183</v>
      </c>
      <c r="D102" t="str">
        <f>"9781847790989"</f>
        <v>9781847790989</v>
      </c>
      <c r="E102" t="s">
        <v>4</v>
      </c>
      <c r="F102" s="1">
        <v>38261</v>
      </c>
    </row>
    <row r="103" spans="1:6" x14ac:dyDescent="0.25">
      <c r="A103">
        <v>589329</v>
      </c>
      <c r="B103" t="s">
        <v>110</v>
      </c>
      <c r="C103" t="str">
        <f>"9780719067143"</f>
        <v>9780719067143</v>
      </c>
      <c r="D103" t="str">
        <f>"9781847791030"</f>
        <v>9781847791030</v>
      </c>
      <c r="E103" t="s">
        <v>4</v>
      </c>
      <c r="F103" s="1">
        <v>38353</v>
      </c>
    </row>
    <row r="104" spans="1:6" x14ac:dyDescent="0.25">
      <c r="A104">
        <v>589330</v>
      </c>
      <c r="B104" t="s">
        <v>111</v>
      </c>
      <c r="C104" t="str">
        <f>"9780719063701"</f>
        <v>9780719063701</v>
      </c>
      <c r="D104" t="str">
        <f>"9781847790729"</f>
        <v>9781847790729</v>
      </c>
      <c r="E104" t="s">
        <v>4</v>
      </c>
      <c r="F104" s="1">
        <v>37933</v>
      </c>
    </row>
    <row r="105" spans="1:6" x14ac:dyDescent="0.25">
      <c r="A105">
        <v>589331</v>
      </c>
      <c r="B105" t="s">
        <v>112</v>
      </c>
      <c r="C105" t="str">
        <f>"9780719066061"</f>
        <v>9780719066061</v>
      </c>
      <c r="D105" t="str">
        <f>"9781847790873"</f>
        <v>9781847790873</v>
      </c>
      <c r="E105" t="s">
        <v>4</v>
      </c>
      <c r="F105" s="1">
        <v>37933</v>
      </c>
    </row>
    <row r="106" spans="1:6" x14ac:dyDescent="0.25">
      <c r="A106">
        <v>589332</v>
      </c>
      <c r="B106" t="s">
        <v>113</v>
      </c>
      <c r="C106" t="str">
        <f>"9780719063909"</f>
        <v>9780719063909</v>
      </c>
      <c r="D106" t="str">
        <f>"9781847790736"</f>
        <v>9781847790736</v>
      </c>
      <c r="E106" t="s">
        <v>4</v>
      </c>
      <c r="F106" s="1">
        <v>37685</v>
      </c>
    </row>
    <row r="107" spans="1:6" x14ac:dyDescent="0.25">
      <c r="A107">
        <v>589333</v>
      </c>
      <c r="B107" t="s">
        <v>114</v>
      </c>
      <c r="C107" t="str">
        <f>"9780719065804"</f>
        <v>9780719065804</v>
      </c>
      <c r="D107" t="str">
        <f>"9781847790842"</f>
        <v>9781847790842</v>
      </c>
      <c r="E107" t="s">
        <v>4</v>
      </c>
      <c r="F107" s="1">
        <v>38080</v>
      </c>
    </row>
    <row r="108" spans="1:6" x14ac:dyDescent="0.25">
      <c r="A108">
        <v>589335</v>
      </c>
      <c r="B108" t="s">
        <v>115</v>
      </c>
      <c r="C108" t="str">
        <f>"9780719064746"</f>
        <v>9780719064746</v>
      </c>
      <c r="D108" t="str">
        <f>"9781847790767"</f>
        <v>9781847790767</v>
      </c>
      <c r="E108" t="s">
        <v>4</v>
      </c>
      <c r="F108" s="1">
        <v>38080</v>
      </c>
    </row>
    <row r="109" spans="1:6" x14ac:dyDescent="0.25">
      <c r="A109">
        <v>589336</v>
      </c>
      <c r="B109" t="s">
        <v>116</v>
      </c>
      <c r="C109" t="str">
        <f>"9780719061219"</f>
        <v>9780719061219</v>
      </c>
      <c r="D109" t="str">
        <f>"9781847790972"</f>
        <v>9781847790972</v>
      </c>
      <c r="E109" t="s">
        <v>4</v>
      </c>
      <c r="F109" s="1">
        <v>38413</v>
      </c>
    </row>
    <row r="110" spans="1:6" x14ac:dyDescent="0.25">
      <c r="A110">
        <v>589338</v>
      </c>
      <c r="B110" t="s">
        <v>117</v>
      </c>
      <c r="C110" t="str">
        <f>"9780719065729"</f>
        <v>9780719065729</v>
      </c>
      <c r="D110" t="str">
        <f>"9781847790835"</f>
        <v>9781847790835</v>
      </c>
      <c r="E110" t="s">
        <v>4</v>
      </c>
      <c r="F110" s="1">
        <v>38080</v>
      </c>
    </row>
    <row r="111" spans="1:6" x14ac:dyDescent="0.25">
      <c r="A111">
        <v>589339</v>
      </c>
      <c r="B111" t="s">
        <v>118</v>
      </c>
      <c r="C111" t="str">
        <f>"9780719067440"</f>
        <v>9780719067440</v>
      </c>
      <c r="D111" t="str">
        <f>"9781847791313"</f>
        <v>9781847791313</v>
      </c>
      <c r="E111" t="s">
        <v>4</v>
      </c>
      <c r="F111" s="1">
        <v>38050</v>
      </c>
    </row>
    <row r="112" spans="1:6" x14ac:dyDescent="0.25">
      <c r="A112">
        <v>605962</v>
      </c>
      <c r="B112" t="s">
        <v>119</v>
      </c>
      <c r="C112" t="str">
        <f>"9783110232097"</f>
        <v>9783110232097</v>
      </c>
      <c r="D112" t="str">
        <f>"9783110232103"</f>
        <v>9783110232103</v>
      </c>
      <c r="E112" t="s">
        <v>73</v>
      </c>
      <c r="F112" s="1">
        <v>40449</v>
      </c>
    </row>
    <row r="113" spans="1:6" x14ac:dyDescent="0.25">
      <c r="A113">
        <v>605983</v>
      </c>
      <c r="B113" t="s">
        <v>120</v>
      </c>
      <c r="C113" t="str">
        <f>"9783110220506"</f>
        <v>9783110220506</v>
      </c>
      <c r="D113" t="str">
        <f>"9783110220513"</f>
        <v>9783110220513</v>
      </c>
      <c r="E113" t="s">
        <v>53</v>
      </c>
      <c r="F113" s="1">
        <v>40438</v>
      </c>
    </row>
    <row r="114" spans="1:6" x14ac:dyDescent="0.25">
      <c r="A114">
        <v>649968</v>
      </c>
      <c r="B114" t="s">
        <v>121</v>
      </c>
      <c r="C114" t="str">
        <f>"9789089642394"</f>
        <v>9789089642394</v>
      </c>
      <c r="D114" t="str">
        <f>"9789048512737"</f>
        <v>9789048512737</v>
      </c>
      <c r="E114" t="s">
        <v>59</v>
      </c>
      <c r="F114" s="1">
        <v>40739</v>
      </c>
    </row>
    <row r="115" spans="1:6" x14ac:dyDescent="0.25">
      <c r="A115">
        <v>686227</v>
      </c>
      <c r="B115" t="s">
        <v>122</v>
      </c>
      <c r="C115" t="str">
        <f>"9781439903179"</f>
        <v>9781439903179</v>
      </c>
      <c r="D115" t="str">
        <f>"9781439903193"</f>
        <v>9781439903193</v>
      </c>
      <c r="E115" t="s">
        <v>47</v>
      </c>
      <c r="F115" s="1">
        <v>40656</v>
      </c>
    </row>
    <row r="116" spans="1:6" x14ac:dyDescent="0.25">
      <c r="A116">
        <v>689637</v>
      </c>
      <c r="B116" t="s">
        <v>123</v>
      </c>
      <c r="C116" t="str">
        <f>"9783110222838"</f>
        <v>9783110222838</v>
      </c>
      <c r="D116" t="str">
        <f>"9783110222845"</f>
        <v>9783110222845</v>
      </c>
      <c r="E116" t="s">
        <v>53</v>
      </c>
      <c r="F116" s="1">
        <v>40525</v>
      </c>
    </row>
    <row r="117" spans="1:6" x14ac:dyDescent="0.25">
      <c r="A117">
        <v>690682</v>
      </c>
      <c r="B117" t="s">
        <v>124</v>
      </c>
      <c r="C117" t="str">
        <f>"9783110254051"</f>
        <v>9783110254051</v>
      </c>
      <c r="D117" t="str">
        <f>"9783110254068"</f>
        <v>9783110254068</v>
      </c>
      <c r="E117" t="s">
        <v>53</v>
      </c>
      <c r="F117" s="1">
        <v>40619</v>
      </c>
    </row>
    <row r="118" spans="1:6" x14ac:dyDescent="0.25">
      <c r="A118">
        <v>737017</v>
      </c>
      <c r="B118" t="s">
        <v>125</v>
      </c>
      <c r="C118" t="str">
        <f>"9783110248548"</f>
        <v>9783110248548</v>
      </c>
      <c r="D118" t="str">
        <f>"9783110262216"</f>
        <v>9783110262216</v>
      </c>
      <c r="E118" t="s">
        <v>53</v>
      </c>
      <c r="F118" s="1">
        <v>40723</v>
      </c>
    </row>
    <row r="119" spans="1:6" x14ac:dyDescent="0.25">
      <c r="A119">
        <v>752440</v>
      </c>
      <c r="B119" t="s">
        <v>126</v>
      </c>
      <c r="C119" t="str">
        <f>"9789089643438"</f>
        <v>9789089643438</v>
      </c>
      <c r="D119" t="str">
        <f>"9789048514748"</f>
        <v>9789048514748</v>
      </c>
      <c r="E119" t="s">
        <v>59</v>
      </c>
      <c r="F119" s="1">
        <v>41470</v>
      </c>
    </row>
    <row r="120" spans="1:6" x14ac:dyDescent="0.25">
      <c r="A120">
        <v>794068</v>
      </c>
      <c r="B120" t="s">
        <v>127</v>
      </c>
      <c r="C120" t="str">
        <f>"9781439906675"</f>
        <v>9781439906675</v>
      </c>
      <c r="D120" t="str">
        <f>"9781439906699"</f>
        <v>9781439906699</v>
      </c>
      <c r="E120" t="s">
        <v>47</v>
      </c>
      <c r="F120" s="1">
        <v>40865</v>
      </c>
    </row>
    <row r="121" spans="1:6" x14ac:dyDescent="0.25">
      <c r="A121">
        <v>797973</v>
      </c>
      <c r="B121" t="s">
        <v>128</v>
      </c>
      <c r="C121" t="str">
        <f>"9783110240870"</f>
        <v>9783110240870</v>
      </c>
      <c r="D121" t="str">
        <f>"9783110240887"</f>
        <v>9783110240887</v>
      </c>
      <c r="E121" t="s">
        <v>53</v>
      </c>
      <c r="F121" s="1">
        <v>40690</v>
      </c>
    </row>
    <row r="122" spans="1:6" x14ac:dyDescent="0.25">
      <c r="A122">
        <v>797994</v>
      </c>
      <c r="B122" t="s">
        <v>129</v>
      </c>
      <c r="C122" t="str">
        <f>"9783110248845"</f>
        <v>9783110248845</v>
      </c>
      <c r="D122" t="str">
        <f>"9783110248852"</f>
        <v>9783110248852</v>
      </c>
      <c r="E122" t="s">
        <v>53</v>
      </c>
      <c r="F122" s="1">
        <v>40525</v>
      </c>
    </row>
    <row r="123" spans="1:6" x14ac:dyDescent="0.25">
      <c r="A123">
        <v>799421</v>
      </c>
      <c r="B123" t="s">
        <v>130</v>
      </c>
      <c r="C123" t="str">
        <f>"9783110258233"</f>
        <v>9783110258233</v>
      </c>
      <c r="D123" t="str">
        <f>"9783110258240"</f>
        <v>9783110258240</v>
      </c>
      <c r="E123" t="s">
        <v>53</v>
      </c>
      <c r="F123" s="1">
        <v>40833</v>
      </c>
    </row>
    <row r="124" spans="1:6" x14ac:dyDescent="0.25">
      <c r="A124">
        <v>827286</v>
      </c>
      <c r="B124" t="s">
        <v>131</v>
      </c>
      <c r="C124" t="str">
        <f>"9783110222135"</f>
        <v>9783110222135</v>
      </c>
      <c r="D124" t="str">
        <f>"9783110222142"</f>
        <v>9783110222142</v>
      </c>
      <c r="E124" t="s">
        <v>53</v>
      </c>
      <c r="F124" s="1">
        <v>40864</v>
      </c>
    </row>
    <row r="125" spans="1:6" x14ac:dyDescent="0.25">
      <c r="A125">
        <v>870638</v>
      </c>
      <c r="B125" t="s">
        <v>132</v>
      </c>
      <c r="C125" t="str">
        <f>"9789089643544"</f>
        <v>9789089643544</v>
      </c>
      <c r="D125" t="str">
        <f>"9789048514915"</f>
        <v>9789048514915</v>
      </c>
      <c r="E125" t="s">
        <v>59</v>
      </c>
      <c r="F125" s="1">
        <v>41379</v>
      </c>
    </row>
    <row r="126" spans="1:6" x14ac:dyDescent="0.25">
      <c r="A126">
        <v>887106</v>
      </c>
      <c r="B126" t="s">
        <v>133</v>
      </c>
      <c r="C126" t="str">
        <f>"9783110265682"</f>
        <v>9783110265682</v>
      </c>
      <c r="D126" t="str">
        <f>"9783110266863"</f>
        <v>9783110266863</v>
      </c>
      <c r="E126" t="s">
        <v>53</v>
      </c>
      <c r="F126" s="1">
        <v>40955</v>
      </c>
    </row>
    <row r="127" spans="1:6" x14ac:dyDescent="0.25">
      <c r="A127">
        <v>887890</v>
      </c>
      <c r="B127" t="s">
        <v>134</v>
      </c>
      <c r="C127" t="str">
        <f>"9781439907580"</f>
        <v>9781439907580</v>
      </c>
      <c r="D127" t="str">
        <f>"9781439907603"</f>
        <v>9781439907603</v>
      </c>
      <c r="E127" t="s">
        <v>47</v>
      </c>
      <c r="F127" s="1">
        <v>40667</v>
      </c>
    </row>
    <row r="128" spans="1:6" x14ac:dyDescent="0.25">
      <c r="A128">
        <v>893097</v>
      </c>
      <c r="B128" t="s">
        <v>135</v>
      </c>
      <c r="C128" t="str">
        <f>"9783110265927"</f>
        <v>9783110265927</v>
      </c>
      <c r="D128" t="str">
        <f>"9783110266412"</f>
        <v>9783110266412</v>
      </c>
      <c r="E128" t="s">
        <v>53</v>
      </c>
      <c r="F128" s="1">
        <v>41715</v>
      </c>
    </row>
    <row r="129" spans="1:6" x14ac:dyDescent="0.25">
      <c r="A129">
        <v>893107</v>
      </c>
      <c r="B129" t="s">
        <v>136</v>
      </c>
      <c r="C129" t="str">
        <f>"9783110294439"</f>
        <v>9783110294439</v>
      </c>
      <c r="D129" t="str">
        <f>"9783110294750"</f>
        <v>9783110294750</v>
      </c>
      <c r="E129" t="s">
        <v>53</v>
      </c>
      <c r="F129" s="1">
        <v>41106</v>
      </c>
    </row>
    <row r="130" spans="1:6" x14ac:dyDescent="0.25">
      <c r="A130">
        <v>893177</v>
      </c>
      <c r="B130" t="s">
        <v>137</v>
      </c>
      <c r="C130" t="str">
        <f>"9783110287370"</f>
        <v>9783110287370</v>
      </c>
      <c r="D130" t="str">
        <f>"9783110287424"</f>
        <v>9783110287424</v>
      </c>
      <c r="E130" t="s">
        <v>53</v>
      </c>
      <c r="F130" s="1">
        <v>41015</v>
      </c>
    </row>
    <row r="131" spans="1:6" x14ac:dyDescent="0.25">
      <c r="A131">
        <v>893383</v>
      </c>
      <c r="B131" t="s">
        <v>138</v>
      </c>
      <c r="C131" t="str">
        <f>"9783110278385"</f>
        <v>9783110278385</v>
      </c>
      <c r="D131" t="str">
        <f>"9783110278552"</f>
        <v>9783110278552</v>
      </c>
      <c r="E131" t="s">
        <v>53</v>
      </c>
      <c r="F131" s="1">
        <v>41074</v>
      </c>
    </row>
    <row r="132" spans="1:6" x14ac:dyDescent="0.25">
      <c r="A132">
        <v>893468</v>
      </c>
      <c r="B132" t="s">
        <v>139</v>
      </c>
      <c r="C132" t="str">
        <f>"9783110260052"</f>
        <v>9783110260052</v>
      </c>
      <c r="D132" t="str">
        <f>"9783110260779"</f>
        <v>9783110260779</v>
      </c>
      <c r="E132" t="s">
        <v>53</v>
      </c>
      <c r="F132" s="1">
        <v>41534</v>
      </c>
    </row>
    <row r="133" spans="1:6" x14ac:dyDescent="0.25">
      <c r="A133">
        <v>893883</v>
      </c>
      <c r="B133" t="s">
        <v>140</v>
      </c>
      <c r="C133" t="str">
        <f>"9783598251276"</f>
        <v>9783598251276</v>
      </c>
      <c r="D133" t="str">
        <f>"9783110232363"</f>
        <v>9783110232363</v>
      </c>
      <c r="E133" t="s">
        <v>53</v>
      </c>
      <c r="F133" s="1">
        <v>41047</v>
      </c>
    </row>
    <row r="134" spans="1:6" x14ac:dyDescent="0.25">
      <c r="A134">
        <v>893937</v>
      </c>
      <c r="B134" t="s">
        <v>141</v>
      </c>
      <c r="C134" t="str">
        <f>"9783110266290"</f>
        <v>9783110266290</v>
      </c>
      <c r="D134" t="str">
        <f>"9783110266306"</f>
        <v>9783110266306</v>
      </c>
      <c r="E134" t="s">
        <v>53</v>
      </c>
      <c r="F134" s="1">
        <v>41058</v>
      </c>
    </row>
    <row r="135" spans="1:6" x14ac:dyDescent="0.25">
      <c r="A135">
        <v>894020</v>
      </c>
      <c r="B135" t="s">
        <v>142</v>
      </c>
      <c r="C135" t="str">
        <f>"9783110269505"</f>
        <v>9783110269505</v>
      </c>
      <c r="D135" t="str">
        <f>"9783110269598"</f>
        <v>9783110269598</v>
      </c>
      <c r="E135" t="s">
        <v>73</v>
      </c>
      <c r="F135" s="1">
        <v>41241</v>
      </c>
    </row>
    <row r="136" spans="1:6" x14ac:dyDescent="0.25">
      <c r="A136">
        <v>894021</v>
      </c>
      <c r="B136" t="s">
        <v>143</v>
      </c>
      <c r="C136" t="str">
        <f>"9783110253269"</f>
        <v>9783110253269</v>
      </c>
      <c r="D136" t="str">
        <f>"9783110263121"</f>
        <v>9783110263121</v>
      </c>
      <c r="E136" t="s">
        <v>73</v>
      </c>
      <c r="F136" s="1">
        <v>41138</v>
      </c>
    </row>
    <row r="137" spans="1:6" x14ac:dyDescent="0.25">
      <c r="A137">
        <v>894152</v>
      </c>
      <c r="B137" t="s">
        <v>144</v>
      </c>
      <c r="C137" t="str">
        <f>"9781614511281"</f>
        <v>9781614511281</v>
      </c>
      <c r="D137" t="str">
        <f>"9781614511014"</f>
        <v>9781614511014</v>
      </c>
      <c r="E137" t="s">
        <v>53</v>
      </c>
      <c r="F137" s="1">
        <v>41564</v>
      </c>
    </row>
    <row r="138" spans="1:6" x14ac:dyDescent="0.25">
      <c r="A138">
        <v>913001</v>
      </c>
      <c r="B138" t="s">
        <v>145</v>
      </c>
      <c r="C138" t="str">
        <f>"9783110265958"</f>
        <v>9783110265958</v>
      </c>
      <c r="D138" t="str">
        <f>"9783110266405"</f>
        <v>9783110266405</v>
      </c>
      <c r="E138" t="s">
        <v>53</v>
      </c>
      <c r="F138" s="1">
        <v>41729</v>
      </c>
    </row>
    <row r="139" spans="1:6" x14ac:dyDescent="0.25">
      <c r="A139">
        <v>913211</v>
      </c>
      <c r="B139" t="s">
        <v>146</v>
      </c>
      <c r="C139" t="str">
        <f>"9783110222111"</f>
        <v>9783110222111</v>
      </c>
      <c r="D139" t="str">
        <f>"9783110222128"</f>
        <v>9783110222128</v>
      </c>
      <c r="E139" t="s">
        <v>53</v>
      </c>
      <c r="F139" s="1">
        <v>40742</v>
      </c>
    </row>
    <row r="140" spans="1:6" x14ac:dyDescent="0.25">
      <c r="A140">
        <v>913221</v>
      </c>
      <c r="B140" t="s">
        <v>147</v>
      </c>
      <c r="C140" t="str">
        <f>"9783110265941"</f>
        <v>9783110265941</v>
      </c>
      <c r="D140" t="str">
        <f>"9783110370324"</f>
        <v>9783110370324</v>
      </c>
      <c r="E140" t="s">
        <v>53</v>
      </c>
      <c r="F140" s="1">
        <v>41715</v>
      </c>
    </row>
    <row r="141" spans="1:6" x14ac:dyDescent="0.25">
      <c r="A141">
        <v>913346</v>
      </c>
      <c r="B141" t="s">
        <v>148</v>
      </c>
      <c r="C141" t="str">
        <f>"9783110258905"</f>
        <v>9783110258905</v>
      </c>
      <c r="D141" t="str">
        <f>"9783110258912"</f>
        <v>9783110258912</v>
      </c>
      <c r="E141" t="s">
        <v>53</v>
      </c>
      <c r="F141" s="1">
        <v>41415</v>
      </c>
    </row>
    <row r="142" spans="1:6" x14ac:dyDescent="0.25">
      <c r="A142">
        <v>913372</v>
      </c>
      <c r="B142" t="s">
        <v>149</v>
      </c>
      <c r="C142" t="str">
        <f>"9783110276343"</f>
        <v>9783110276343</v>
      </c>
      <c r="D142" t="str">
        <f>"9783110278736"</f>
        <v>9783110278736</v>
      </c>
      <c r="E142" t="s">
        <v>73</v>
      </c>
      <c r="F142" s="1">
        <v>41534</v>
      </c>
    </row>
    <row r="143" spans="1:6" x14ac:dyDescent="0.25">
      <c r="A143">
        <v>919818</v>
      </c>
      <c r="B143" t="s">
        <v>150</v>
      </c>
      <c r="C143" t="str">
        <f>"9783110295948"</f>
        <v>9783110295948</v>
      </c>
      <c r="D143" t="str">
        <f>"9783110296433"</f>
        <v>9783110296433</v>
      </c>
      <c r="E143" t="s">
        <v>53</v>
      </c>
      <c r="F143" s="1">
        <v>41348</v>
      </c>
    </row>
    <row r="144" spans="1:6" x14ac:dyDescent="0.25">
      <c r="A144">
        <v>919841</v>
      </c>
      <c r="B144" t="s">
        <v>151</v>
      </c>
      <c r="C144" t="str">
        <f>"9783110200591"</f>
        <v>9783110200591</v>
      </c>
      <c r="D144" t="str">
        <f>"9783110227369"</f>
        <v>9783110227369</v>
      </c>
      <c r="E144" t="s">
        <v>53</v>
      </c>
      <c r="F144" s="1">
        <v>41870</v>
      </c>
    </row>
    <row r="145" spans="1:6" x14ac:dyDescent="0.25">
      <c r="A145">
        <v>936984</v>
      </c>
      <c r="B145" t="s">
        <v>152</v>
      </c>
      <c r="C145" t="str">
        <f>"9783899493856"</f>
        <v>9783899493856</v>
      </c>
      <c r="D145" t="str">
        <f>"9783110914665"</f>
        <v>9783110914665</v>
      </c>
      <c r="E145" t="s">
        <v>53</v>
      </c>
      <c r="F145" s="1">
        <v>39170</v>
      </c>
    </row>
    <row r="146" spans="1:6" x14ac:dyDescent="0.25">
      <c r="A146">
        <v>937321</v>
      </c>
      <c r="B146" t="s">
        <v>153</v>
      </c>
      <c r="C146" t="str">
        <f>"9783899492194"</f>
        <v>9783899492194</v>
      </c>
      <c r="D146" t="str">
        <f>"9783110895414"</f>
        <v>9783110895414</v>
      </c>
      <c r="E146" t="s">
        <v>53</v>
      </c>
      <c r="F146" s="1">
        <v>38497</v>
      </c>
    </row>
    <row r="147" spans="1:6" x14ac:dyDescent="0.25">
      <c r="A147">
        <v>955842</v>
      </c>
      <c r="B147" t="s">
        <v>154</v>
      </c>
      <c r="C147" t="str">
        <f>"9783598251283"</f>
        <v>9783598251283</v>
      </c>
      <c r="D147" t="str">
        <f>"9783110298871"</f>
        <v>9783110298871</v>
      </c>
      <c r="E147" t="s">
        <v>53</v>
      </c>
      <c r="F147" s="1">
        <v>41593</v>
      </c>
    </row>
    <row r="148" spans="1:6" x14ac:dyDescent="0.25">
      <c r="A148">
        <v>1046677</v>
      </c>
      <c r="B148" t="s">
        <v>155</v>
      </c>
      <c r="C148" t="str">
        <f>"9783110265903"</f>
        <v>9783110265903</v>
      </c>
      <c r="D148" t="str">
        <f>"9783110266887"</f>
        <v>9783110266887</v>
      </c>
      <c r="E148" t="s">
        <v>53</v>
      </c>
      <c r="F148" s="1">
        <v>41627</v>
      </c>
    </row>
    <row r="149" spans="1:6" x14ac:dyDescent="0.25">
      <c r="A149">
        <v>1069475</v>
      </c>
      <c r="B149" t="s">
        <v>156</v>
      </c>
      <c r="C149" t="str">
        <f>"9780719057496"</f>
        <v>9780719057496</v>
      </c>
      <c r="D149" t="str">
        <f>"9781847791276"</f>
        <v>9781847791276</v>
      </c>
      <c r="E149" t="s">
        <v>4</v>
      </c>
      <c r="F149" s="1">
        <v>37455</v>
      </c>
    </row>
    <row r="150" spans="1:6" x14ac:dyDescent="0.25">
      <c r="A150">
        <v>1069507</v>
      </c>
      <c r="B150" t="s">
        <v>157</v>
      </c>
      <c r="C150" t="str">
        <f>"9780719068782"</f>
        <v>9780719068782</v>
      </c>
      <c r="D150" t="str">
        <f>"9781847792723"</f>
        <v>9781847792723</v>
      </c>
      <c r="E150" t="s">
        <v>4</v>
      </c>
      <c r="F150" s="1">
        <v>38598</v>
      </c>
    </row>
    <row r="151" spans="1:6" x14ac:dyDescent="0.25">
      <c r="A151">
        <v>1075567</v>
      </c>
      <c r="B151" t="s">
        <v>158</v>
      </c>
      <c r="C151" t="str">
        <f>"9783110310412"</f>
        <v>9783110310412</v>
      </c>
      <c r="D151" t="str">
        <f>"9783110310511"</f>
        <v>9783110310511</v>
      </c>
      <c r="E151" t="s">
        <v>73</v>
      </c>
      <c r="F151" s="1">
        <v>41988</v>
      </c>
    </row>
    <row r="152" spans="1:6" x14ac:dyDescent="0.25">
      <c r="A152">
        <v>1075610</v>
      </c>
      <c r="B152" t="s">
        <v>159</v>
      </c>
      <c r="C152" t="str">
        <f>"9783110265026"</f>
        <v>9783110265026</v>
      </c>
      <c r="D152" t="str">
        <f>"9783110310351"</f>
        <v>9783110310351</v>
      </c>
      <c r="E152" t="s">
        <v>53</v>
      </c>
      <c r="F152" s="1">
        <v>41443</v>
      </c>
    </row>
    <row r="153" spans="1:6" x14ac:dyDescent="0.25">
      <c r="A153">
        <v>1094221</v>
      </c>
      <c r="B153" t="s">
        <v>160</v>
      </c>
      <c r="C153" t="str">
        <f>"9783110312713"</f>
        <v>9783110312713</v>
      </c>
      <c r="D153" t="str">
        <f>"9783110312836"</f>
        <v>9783110312836</v>
      </c>
      <c r="E153" t="s">
        <v>73</v>
      </c>
      <c r="F153" s="1">
        <v>41876</v>
      </c>
    </row>
    <row r="154" spans="1:6" x14ac:dyDescent="0.25">
      <c r="A154">
        <v>1102270</v>
      </c>
      <c r="B154" t="s">
        <v>161</v>
      </c>
      <c r="C154" t="str">
        <f>"9781439909096"</f>
        <v>9781439909096</v>
      </c>
      <c r="D154" t="str">
        <f>"9781439909119"</f>
        <v>9781439909119</v>
      </c>
      <c r="E154" t="s">
        <v>47</v>
      </c>
      <c r="F154" s="1">
        <v>41271</v>
      </c>
    </row>
    <row r="155" spans="1:6" x14ac:dyDescent="0.25">
      <c r="A155">
        <v>1108072</v>
      </c>
      <c r="B155" t="s">
        <v>162</v>
      </c>
      <c r="C155" t="str">
        <f>"9783110306675"</f>
        <v>9783110306675</v>
      </c>
      <c r="D155" t="str">
        <f>"9783110306897"</f>
        <v>9783110306897</v>
      </c>
      <c r="E155" t="s">
        <v>53</v>
      </c>
      <c r="F155" s="1">
        <v>41304</v>
      </c>
    </row>
    <row r="156" spans="1:6" x14ac:dyDescent="0.25">
      <c r="A156">
        <v>1121564</v>
      </c>
      <c r="B156" t="s">
        <v>163</v>
      </c>
      <c r="C156" t="str">
        <f>"9783110295450"</f>
        <v>9783110295450</v>
      </c>
      <c r="D156" t="str">
        <f>"9783110295467"</f>
        <v>9783110295467</v>
      </c>
      <c r="E156" t="s">
        <v>53</v>
      </c>
      <c r="F156" s="1">
        <v>41443</v>
      </c>
    </row>
    <row r="157" spans="1:6" x14ac:dyDescent="0.25">
      <c r="A157">
        <v>1121566</v>
      </c>
      <c r="B157" t="s">
        <v>164</v>
      </c>
      <c r="C157" t="str">
        <f>"9788376560076"</f>
        <v>9788376560076</v>
      </c>
      <c r="D157" t="str">
        <f>"9788376560083"</f>
        <v>9788376560083</v>
      </c>
      <c r="E157" t="s">
        <v>73</v>
      </c>
      <c r="F157" s="1">
        <v>41293</v>
      </c>
    </row>
    <row r="158" spans="1:6" x14ac:dyDescent="0.25">
      <c r="A158">
        <v>1121606</v>
      </c>
      <c r="B158" t="s">
        <v>165</v>
      </c>
      <c r="C158" t="str">
        <f>"9783110314588"</f>
        <v>9783110314588</v>
      </c>
      <c r="D158" t="str">
        <f>"9783110314724"</f>
        <v>9783110314724</v>
      </c>
      <c r="E158" t="s">
        <v>53</v>
      </c>
      <c r="F158" s="1">
        <v>41505</v>
      </c>
    </row>
    <row r="159" spans="1:6" x14ac:dyDescent="0.25">
      <c r="A159">
        <v>1130323</v>
      </c>
      <c r="B159" t="s">
        <v>166</v>
      </c>
      <c r="C159" t="str">
        <f>"9783110306224"</f>
        <v>9783110306224</v>
      </c>
      <c r="D159" t="str">
        <f>"9783110306422"</f>
        <v>9783110306422</v>
      </c>
      <c r="E159" t="s">
        <v>73</v>
      </c>
      <c r="F159" s="1">
        <v>41870</v>
      </c>
    </row>
    <row r="160" spans="1:6" x14ac:dyDescent="0.25">
      <c r="A160">
        <v>1130369</v>
      </c>
      <c r="B160" t="s">
        <v>167</v>
      </c>
      <c r="C160" t="str">
        <f>"9783110301816"</f>
        <v>9783110301816</v>
      </c>
      <c r="D160" t="str">
        <f>"9783110301939"</f>
        <v>9783110301939</v>
      </c>
      <c r="E160" t="s">
        <v>53</v>
      </c>
      <c r="F160" s="1">
        <v>41443</v>
      </c>
    </row>
    <row r="161" spans="1:6" x14ac:dyDescent="0.25">
      <c r="A161">
        <v>1139075</v>
      </c>
      <c r="B161" t="s">
        <v>168</v>
      </c>
      <c r="C161" t="str">
        <f>"9783110311174"</f>
        <v>9783110311174</v>
      </c>
      <c r="D161" t="str">
        <f>"9783110311358"</f>
        <v>9783110311358</v>
      </c>
      <c r="E161" t="s">
        <v>53</v>
      </c>
      <c r="F161" s="1">
        <v>41621</v>
      </c>
    </row>
    <row r="162" spans="1:6" x14ac:dyDescent="0.25">
      <c r="A162">
        <v>1157178</v>
      </c>
      <c r="B162" t="s">
        <v>169</v>
      </c>
      <c r="C162" t="str">
        <f>"9783110319309"</f>
        <v>9783110319309</v>
      </c>
      <c r="D162" t="str">
        <f>"9783110319798"</f>
        <v>9783110319798</v>
      </c>
      <c r="E162" t="s">
        <v>53</v>
      </c>
      <c r="F162" s="1">
        <v>41564</v>
      </c>
    </row>
    <row r="163" spans="1:6" x14ac:dyDescent="0.25">
      <c r="A163">
        <v>1157200</v>
      </c>
      <c r="B163" t="s">
        <v>170</v>
      </c>
      <c r="C163" t="str">
        <f>"9788376560021"</f>
        <v>9788376560021</v>
      </c>
      <c r="D163" t="str">
        <f>"9788376560014"</f>
        <v>9788376560014</v>
      </c>
      <c r="E163" t="s">
        <v>73</v>
      </c>
      <c r="F163" s="1">
        <v>41344</v>
      </c>
    </row>
    <row r="164" spans="1:6" x14ac:dyDescent="0.25">
      <c r="A164">
        <v>1157244</v>
      </c>
      <c r="B164" t="s">
        <v>171</v>
      </c>
      <c r="C164" t="str">
        <f>"9788376560045"</f>
        <v>9788376560045</v>
      </c>
      <c r="D164" t="str">
        <f>"9788376560052"</f>
        <v>9788376560052</v>
      </c>
      <c r="E164" t="s">
        <v>73</v>
      </c>
      <c r="F164" s="1">
        <v>41341</v>
      </c>
    </row>
    <row r="165" spans="1:6" x14ac:dyDescent="0.25">
      <c r="A165">
        <v>1164716</v>
      </c>
      <c r="B165" t="s">
        <v>172</v>
      </c>
      <c r="C165" t="str">
        <f>"9783110315912"</f>
        <v>9783110315912</v>
      </c>
      <c r="D165" t="str">
        <f>"9783110315981"</f>
        <v>9783110315981</v>
      </c>
      <c r="E165" t="s">
        <v>53</v>
      </c>
      <c r="F165" s="1">
        <v>41472</v>
      </c>
    </row>
    <row r="166" spans="1:6" x14ac:dyDescent="0.25">
      <c r="A166">
        <v>1167593</v>
      </c>
      <c r="B166" t="s">
        <v>173</v>
      </c>
      <c r="C166" t="str">
        <f>"9780822342618"</f>
        <v>9780822342618</v>
      </c>
      <c r="D166" t="str">
        <f>"9780822381204"</f>
        <v>9780822381204</v>
      </c>
      <c r="E166" t="s">
        <v>174</v>
      </c>
      <c r="F166" s="1">
        <v>39686</v>
      </c>
    </row>
    <row r="167" spans="1:6" x14ac:dyDescent="0.25">
      <c r="A167">
        <v>1168075</v>
      </c>
      <c r="B167" t="s">
        <v>175</v>
      </c>
      <c r="C167" t="str">
        <f>"9780822333555"</f>
        <v>9780822333555</v>
      </c>
      <c r="D167" t="str">
        <f>"9780822386063"</f>
        <v>9780822386063</v>
      </c>
      <c r="E167" t="s">
        <v>174</v>
      </c>
      <c r="F167" s="1">
        <v>38320</v>
      </c>
    </row>
    <row r="168" spans="1:6" x14ac:dyDescent="0.25">
      <c r="A168">
        <v>1169274</v>
      </c>
      <c r="B168" t="s">
        <v>176</v>
      </c>
      <c r="C168" t="str">
        <f>"9780822337805"</f>
        <v>9780822337805</v>
      </c>
      <c r="D168" t="str">
        <f>"9780822387749"</f>
        <v>9780822387749</v>
      </c>
      <c r="E168" t="s">
        <v>174</v>
      </c>
      <c r="F168" s="1">
        <v>38840</v>
      </c>
    </row>
    <row r="169" spans="1:6" x14ac:dyDescent="0.25">
      <c r="A169">
        <v>1169866</v>
      </c>
      <c r="B169" t="s">
        <v>177</v>
      </c>
      <c r="C169" t="str">
        <f>"9780822339052"</f>
        <v>9780822339052</v>
      </c>
      <c r="D169" t="str">
        <f>"9780822389620"</f>
        <v>9780822389620</v>
      </c>
      <c r="E169" t="s">
        <v>174</v>
      </c>
      <c r="F169" s="1">
        <v>39091</v>
      </c>
    </row>
    <row r="170" spans="1:6" x14ac:dyDescent="0.25">
      <c r="A170">
        <v>1169875</v>
      </c>
      <c r="B170" t="s">
        <v>178</v>
      </c>
      <c r="C170" t="str">
        <f>"9780822342229"</f>
        <v>9780822342229</v>
      </c>
      <c r="D170" t="str">
        <f>"9780822389132"</f>
        <v>9780822389132</v>
      </c>
      <c r="E170" t="s">
        <v>174</v>
      </c>
      <c r="F170" s="1">
        <v>39630</v>
      </c>
    </row>
    <row r="171" spans="1:6" x14ac:dyDescent="0.25">
      <c r="A171">
        <v>1169886</v>
      </c>
      <c r="B171" t="s">
        <v>179</v>
      </c>
      <c r="C171" t="str">
        <f>"9780822339298"</f>
        <v>9780822339298</v>
      </c>
      <c r="D171" t="str">
        <f>"9780822389552"</f>
        <v>9780822389552</v>
      </c>
      <c r="E171" t="s">
        <v>174</v>
      </c>
      <c r="F171" s="1">
        <v>39244</v>
      </c>
    </row>
    <row r="172" spans="1:6" x14ac:dyDescent="0.25">
      <c r="A172">
        <v>1169899</v>
      </c>
      <c r="B172" t="s">
        <v>180</v>
      </c>
      <c r="C172" t="str">
        <f>"9780822341406"</f>
        <v>9780822341406</v>
      </c>
      <c r="D172" t="str">
        <f>"9780822388876"</f>
        <v>9780822388876</v>
      </c>
      <c r="E172" t="s">
        <v>174</v>
      </c>
      <c r="F172" s="1">
        <v>39539</v>
      </c>
    </row>
    <row r="173" spans="1:6" x14ac:dyDescent="0.25">
      <c r="A173">
        <v>1169940</v>
      </c>
      <c r="B173" t="s">
        <v>181</v>
      </c>
      <c r="C173" t="str">
        <f>"9780822343479"</f>
        <v>9780822343479</v>
      </c>
      <c r="D173" t="str">
        <f>"9780822389460"</f>
        <v>9780822389460</v>
      </c>
      <c r="E173" t="s">
        <v>174</v>
      </c>
      <c r="F173" s="1">
        <v>39829</v>
      </c>
    </row>
    <row r="174" spans="1:6" x14ac:dyDescent="0.25">
      <c r="A174">
        <v>1170470</v>
      </c>
      <c r="B174" t="s">
        <v>182</v>
      </c>
      <c r="C174" t="str">
        <f>"9780822339755"</f>
        <v>9780822339755</v>
      </c>
      <c r="D174" t="str">
        <f>"9780822390398"</f>
        <v>9780822390398</v>
      </c>
      <c r="E174" t="s">
        <v>174</v>
      </c>
      <c r="F174" s="1">
        <v>39458</v>
      </c>
    </row>
    <row r="175" spans="1:6" x14ac:dyDescent="0.25">
      <c r="A175">
        <v>1170526</v>
      </c>
      <c r="B175" t="s">
        <v>183</v>
      </c>
      <c r="C175" t="str">
        <f>"9780822344520"</f>
        <v>9780822344520</v>
      </c>
      <c r="D175" t="str">
        <f>"9780822390701"</f>
        <v>9780822390701</v>
      </c>
      <c r="E175" t="s">
        <v>174</v>
      </c>
      <c r="F175" s="1">
        <v>39916</v>
      </c>
    </row>
    <row r="176" spans="1:6" x14ac:dyDescent="0.25">
      <c r="A176">
        <v>1170612</v>
      </c>
      <c r="B176" t="s">
        <v>184</v>
      </c>
      <c r="C176" t="str">
        <f>"9780822344933"</f>
        <v>9780822344933</v>
      </c>
      <c r="D176" t="str">
        <f>"9780822390930"</f>
        <v>9780822390930</v>
      </c>
      <c r="E176" t="s">
        <v>174</v>
      </c>
      <c r="F176" s="1">
        <v>40046</v>
      </c>
    </row>
    <row r="177" spans="1:6" x14ac:dyDescent="0.25">
      <c r="A177">
        <v>1170613</v>
      </c>
      <c r="B177" t="s">
        <v>185</v>
      </c>
      <c r="C177" t="str">
        <f>"9780822344605"</f>
        <v>9780822344605</v>
      </c>
      <c r="D177" t="str">
        <f>"9780822390787"</f>
        <v>9780822390787</v>
      </c>
      <c r="E177" t="s">
        <v>174</v>
      </c>
      <c r="F177" s="1">
        <v>39983</v>
      </c>
    </row>
    <row r="178" spans="1:6" x14ac:dyDescent="0.25">
      <c r="A178">
        <v>1170622</v>
      </c>
      <c r="B178" t="s">
        <v>186</v>
      </c>
      <c r="C178" t="str">
        <f>"9780822345596"</f>
        <v>9780822345596</v>
      </c>
      <c r="D178" t="str">
        <f>"9780822391326"</f>
        <v>9780822391326</v>
      </c>
      <c r="E178" t="s">
        <v>174</v>
      </c>
      <c r="F178" s="1">
        <v>41316</v>
      </c>
    </row>
    <row r="179" spans="1:6" x14ac:dyDescent="0.25">
      <c r="A179">
        <v>1170653</v>
      </c>
      <c r="B179" t="s">
        <v>187</v>
      </c>
      <c r="C179" t="str">
        <f>"9780822344865"</f>
        <v>9780822344865</v>
      </c>
      <c r="D179" t="str">
        <f>"9780822390862"</f>
        <v>9780822390862</v>
      </c>
      <c r="E179" t="s">
        <v>174</v>
      </c>
      <c r="F179" s="1">
        <v>40011</v>
      </c>
    </row>
    <row r="180" spans="1:6" x14ac:dyDescent="0.25">
      <c r="A180">
        <v>1170660</v>
      </c>
      <c r="B180" t="s">
        <v>188</v>
      </c>
      <c r="C180" t="str">
        <f>"9780822345213"</f>
        <v>9780822345213</v>
      </c>
      <c r="D180" t="str">
        <f>"9780822391081"</f>
        <v>9780822391081</v>
      </c>
      <c r="E180" t="s">
        <v>174</v>
      </c>
      <c r="F180" s="1">
        <v>39955</v>
      </c>
    </row>
    <row r="181" spans="1:6" x14ac:dyDescent="0.25">
      <c r="A181">
        <v>1170663</v>
      </c>
      <c r="B181" t="s">
        <v>189</v>
      </c>
      <c r="C181" t="str">
        <f>"9780822344674"</f>
        <v>9780822344674</v>
      </c>
      <c r="D181" t="str">
        <f>"9780822390848"</f>
        <v>9780822390848</v>
      </c>
      <c r="E181" t="s">
        <v>174</v>
      </c>
      <c r="F181" s="1">
        <v>40142</v>
      </c>
    </row>
    <row r="182" spans="1:6" x14ac:dyDescent="0.25">
      <c r="A182">
        <v>1171693</v>
      </c>
      <c r="B182" t="s">
        <v>190</v>
      </c>
      <c r="C182" t="str">
        <f>"9780822346852"</f>
        <v>9780822346852</v>
      </c>
      <c r="D182" t="str">
        <f>"9780822392682"</f>
        <v>9780822392682</v>
      </c>
      <c r="E182" t="s">
        <v>174</v>
      </c>
      <c r="F182" s="1">
        <v>40284</v>
      </c>
    </row>
    <row r="183" spans="1:6" x14ac:dyDescent="0.25">
      <c r="A183">
        <v>1171699</v>
      </c>
      <c r="B183" t="s">
        <v>191</v>
      </c>
      <c r="C183" t="str">
        <f>"9780822346869"</f>
        <v>9780822346869</v>
      </c>
      <c r="D183" t="str">
        <f>"9780822392699"</f>
        <v>9780822392699</v>
      </c>
      <c r="E183" t="s">
        <v>174</v>
      </c>
      <c r="F183" s="1">
        <v>40240</v>
      </c>
    </row>
    <row r="184" spans="1:6" x14ac:dyDescent="0.25">
      <c r="A184">
        <v>1171711</v>
      </c>
      <c r="B184" t="s">
        <v>192</v>
      </c>
      <c r="C184" t="str">
        <f>"9780822345886"</f>
        <v>9780822345886</v>
      </c>
      <c r="D184" t="str">
        <f>"9780822391975"</f>
        <v>9780822391975</v>
      </c>
      <c r="E184" t="s">
        <v>174</v>
      </c>
      <c r="F184" s="1">
        <v>40359</v>
      </c>
    </row>
    <row r="185" spans="1:6" x14ac:dyDescent="0.25">
      <c r="A185">
        <v>1171721</v>
      </c>
      <c r="B185" t="s">
        <v>193</v>
      </c>
      <c r="C185" t="str">
        <f>"9780822344322"</f>
        <v>9780822344322</v>
      </c>
      <c r="D185" t="str">
        <f>"9780822392422"</f>
        <v>9780822392422</v>
      </c>
      <c r="E185" t="s">
        <v>174</v>
      </c>
      <c r="F185" s="1">
        <v>39920</v>
      </c>
    </row>
    <row r="186" spans="1:6" x14ac:dyDescent="0.25">
      <c r="A186">
        <v>1171722</v>
      </c>
      <c r="B186" t="s">
        <v>194</v>
      </c>
      <c r="C186" t="str">
        <f>"9780822347088"</f>
        <v>9780822347088</v>
      </c>
      <c r="D186" t="str">
        <f>"9780822392767"</f>
        <v>9780822392767</v>
      </c>
      <c r="E186" t="s">
        <v>174</v>
      </c>
      <c r="F186" s="1">
        <v>40393</v>
      </c>
    </row>
    <row r="187" spans="1:6" x14ac:dyDescent="0.25">
      <c r="A187">
        <v>1171766</v>
      </c>
      <c r="B187" t="s">
        <v>195</v>
      </c>
      <c r="C187" t="str">
        <f>"9780822343905"</f>
        <v>9780822343905</v>
      </c>
      <c r="D187" t="str">
        <f>"9780822392095"</f>
        <v>9780822392095</v>
      </c>
      <c r="E187" t="s">
        <v>174</v>
      </c>
      <c r="F187" s="1">
        <v>39895</v>
      </c>
    </row>
    <row r="188" spans="1:6" x14ac:dyDescent="0.25">
      <c r="A188">
        <v>1171778</v>
      </c>
      <c r="B188" t="s">
        <v>196</v>
      </c>
      <c r="C188" t="str">
        <f>"9780822343929"</f>
        <v>9780822343929</v>
      </c>
      <c r="D188" t="str">
        <f>"9780822392415"</f>
        <v>9780822392415</v>
      </c>
      <c r="E188" t="s">
        <v>174</v>
      </c>
      <c r="F188" s="1">
        <v>39864</v>
      </c>
    </row>
    <row r="189" spans="1:6" x14ac:dyDescent="0.25">
      <c r="A189">
        <v>1171780</v>
      </c>
      <c r="B189" t="s">
        <v>197</v>
      </c>
      <c r="C189" t="str">
        <f>"9780822344308"</f>
        <v>9780822344308</v>
      </c>
      <c r="D189" t="str">
        <f>"9780822392378"</f>
        <v>9780822392378</v>
      </c>
      <c r="E189" t="s">
        <v>174</v>
      </c>
      <c r="F189" s="1">
        <v>40014</v>
      </c>
    </row>
    <row r="190" spans="1:6" x14ac:dyDescent="0.25">
      <c r="A190">
        <v>1171788</v>
      </c>
      <c r="B190" t="s">
        <v>198</v>
      </c>
      <c r="C190" t="str">
        <f>"9780822344261"</f>
        <v>9780822344261</v>
      </c>
      <c r="D190" t="str">
        <f>"9780822392170"</f>
        <v>9780822392170</v>
      </c>
      <c r="E190" t="s">
        <v>174</v>
      </c>
      <c r="F190" s="1">
        <v>39890</v>
      </c>
    </row>
    <row r="191" spans="1:6" x14ac:dyDescent="0.25">
      <c r="A191">
        <v>1171792</v>
      </c>
      <c r="B191" t="s">
        <v>199</v>
      </c>
      <c r="C191" t="str">
        <f>"9780822340232"</f>
        <v>9780822340232</v>
      </c>
      <c r="D191" t="str">
        <f>"9780822392088"</f>
        <v>9780822392088</v>
      </c>
      <c r="E191" t="s">
        <v>174</v>
      </c>
      <c r="F191" s="1">
        <v>39371</v>
      </c>
    </row>
    <row r="192" spans="1:6" x14ac:dyDescent="0.25">
      <c r="A192">
        <v>1172253</v>
      </c>
      <c r="B192" t="s">
        <v>200</v>
      </c>
      <c r="C192" t="str">
        <f>"9780822348818"</f>
        <v>9780822348818</v>
      </c>
      <c r="D192" t="str">
        <f>"9780822393573"</f>
        <v>9780822393573</v>
      </c>
      <c r="E192" t="s">
        <v>174</v>
      </c>
      <c r="F192" s="1">
        <v>40646</v>
      </c>
    </row>
    <row r="193" spans="1:6" x14ac:dyDescent="0.25">
      <c r="A193">
        <v>1172287</v>
      </c>
      <c r="B193" t="s">
        <v>201</v>
      </c>
      <c r="C193" t="str">
        <f>"9780822348993"</f>
        <v>9780822348993</v>
      </c>
      <c r="D193" t="str">
        <f>"9780822393764"</f>
        <v>9780822393764</v>
      </c>
      <c r="E193" t="s">
        <v>174</v>
      </c>
      <c r="F193" s="1">
        <v>40805</v>
      </c>
    </row>
    <row r="194" spans="1:6" x14ac:dyDescent="0.25">
      <c r="A194">
        <v>1172299</v>
      </c>
      <c r="B194" t="s">
        <v>202</v>
      </c>
      <c r="C194" t="str">
        <f>"9780822348351"</f>
        <v>9780822348351</v>
      </c>
      <c r="D194" t="str">
        <f>"9780822393351"</f>
        <v>9780822393351</v>
      </c>
      <c r="E194" t="s">
        <v>174</v>
      </c>
      <c r="F194" s="1">
        <v>40763</v>
      </c>
    </row>
    <row r="195" spans="1:6" x14ac:dyDescent="0.25">
      <c r="A195">
        <v>1172306</v>
      </c>
      <c r="B195" t="s">
        <v>203</v>
      </c>
      <c r="C195" t="str">
        <f>"9780822347521"</f>
        <v>9780822347521</v>
      </c>
      <c r="D195" t="str">
        <f>"9780822392989"</f>
        <v>9780822392989</v>
      </c>
      <c r="E195" t="s">
        <v>174</v>
      </c>
      <c r="F195" s="1">
        <v>40493</v>
      </c>
    </row>
    <row r="196" spans="1:6" x14ac:dyDescent="0.25">
      <c r="A196">
        <v>1172991</v>
      </c>
      <c r="B196" t="s">
        <v>204</v>
      </c>
      <c r="C196" t="str">
        <f>"9780822351412"</f>
        <v>9780822351412</v>
      </c>
      <c r="D196" t="str">
        <f>"9780822394884"</f>
        <v>9780822394884</v>
      </c>
      <c r="E196" t="s">
        <v>174</v>
      </c>
      <c r="F196" s="1">
        <v>41022</v>
      </c>
    </row>
    <row r="197" spans="1:6" x14ac:dyDescent="0.25">
      <c r="A197">
        <v>1172992</v>
      </c>
      <c r="B197" t="s">
        <v>205</v>
      </c>
      <c r="C197" t="str">
        <f>"9780822350651"</f>
        <v>9780822350651</v>
      </c>
      <c r="D197" t="str">
        <f>"9780822394587"</f>
        <v>9780822394587</v>
      </c>
      <c r="E197" t="s">
        <v>174</v>
      </c>
      <c r="F197" s="1">
        <v>40919</v>
      </c>
    </row>
    <row r="198" spans="1:6" x14ac:dyDescent="0.25">
      <c r="A198">
        <v>1172996</v>
      </c>
      <c r="B198" t="s">
        <v>206</v>
      </c>
      <c r="C198" t="str">
        <f>"9780822351375"</f>
        <v>9780822351375</v>
      </c>
      <c r="D198" t="str">
        <f>"9780822394853"</f>
        <v>9780822394853</v>
      </c>
      <c r="E198" t="s">
        <v>174</v>
      </c>
      <c r="F198" s="1">
        <v>40907</v>
      </c>
    </row>
    <row r="199" spans="1:6" x14ac:dyDescent="0.25">
      <c r="A199">
        <v>1173000</v>
      </c>
      <c r="B199" t="s">
        <v>207</v>
      </c>
      <c r="C199" t="str">
        <f>"9780822350323"</f>
        <v>9780822350323</v>
      </c>
      <c r="D199" t="str">
        <f>"9780822394396"</f>
        <v>9780822394396</v>
      </c>
      <c r="E199" t="s">
        <v>174</v>
      </c>
      <c r="F199" s="1">
        <v>40756</v>
      </c>
    </row>
    <row r="200" spans="1:6" x14ac:dyDescent="0.25">
      <c r="A200">
        <v>1173002</v>
      </c>
      <c r="B200" t="s">
        <v>208</v>
      </c>
      <c r="C200" t="str">
        <f>"9780822351184"</f>
        <v>9780822351184</v>
      </c>
      <c r="D200" t="str">
        <f>"9780822394808"</f>
        <v>9780822394808</v>
      </c>
      <c r="E200" t="s">
        <v>174</v>
      </c>
      <c r="F200" s="1">
        <v>41302</v>
      </c>
    </row>
    <row r="201" spans="1:6" x14ac:dyDescent="0.25">
      <c r="A201">
        <v>1173020</v>
      </c>
      <c r="B201" t="s">
        <v>209</v>
      </c>
      <c r="C201" t="str">
        <f>"9780822350347"</f>
        <v>9780822350347</v>
      </c>
      <c r="D201" t="str">
        <f>"9780822394419"</f>
        <v>9780822394419</v>
      </c>
      <c r="E201" t="s">
        <v>174</v>
      </c>
      <c r="F201" s="1">
        <v>40812</v>
      </c>
    </row>
    <row r="202" spans="1:6" x14ac:dyDescent="0.25">
      <c r="A202">
        <v>1173032</v>
      </c>
      <c r="B202" t="s">
        <v>210</v>
      </c>
      <c r="C202" t="str">
        <f>"9780822349259"</f>
        <v>9780822349259</v>
      </c>
      <c r="D202" t="str">
        <f>"9780822393894"</f>
        <v>9780822393894</v>
      </c>
      <c r="E202" t="s">
        <v>174</v>
      </c>
      <c r="F202" s="1">
        <v>40805</v>
      </c>
    </row>
    <row r="203" spans="1:6" x14ac:dyDescent="0.25">
      <c r="A203">
        <v>1173066</v>
      </c>
      <c r="B203" t="s">
        <v>211</v>
      </c>
      <c r="C203" t="str">
        <f>"9780822351191"</f>
        <v>9780822351191</v>
      </c>
      <c r="D203" t="str">
        <f>"9780822394792"</f>
        <v>9780822394792</v>
      </c>
      <c r="E203" t="s">
        <v>174</v>
      </c>
      <c r="F203" s="1">
        <v>40996</v>
      </c>
    </row>
    <row r="204" spans="1:6" x14ac:dyDescent="0.25">
      <c r="A204">
        <v>1173072</v>
      </c>
      <c r="B204" t="s">
        <v>212</v>
      </c>
      <c r="C204" t="str">
        <f>"9780822350613"</f>
        <v>9780822350613</v>
      </c>
      <c r="D204" t="str">
        <f>"9780822394518"</f>
        <v>9780822394518</v>
      </c>
      <c r="E204" t="s">
        <v>174</v>
      </c>
      <c r="F204" s="1">
        <v>40779</v>
      </c>
    </row>
    <row r="205" spans="1:6" x14ac:dyDescent="0.25">
      <c r="A205">
        <v>1173076</v>
      </c>
      <c r="B205" t="s">
        <v>213</v>
      </c>
      <c r="C205" t="str">
        <f>"9780822349754"</f>
        <v>9780822349754</v>
      </c>
      <c r="D205" t="str">
        <f>"9780822394099"</f>
        <v>9780822394099</v>
      </c>
      <c r="E205" t="s">
        <v>174</v>
      </c>
      <c r="F205" s="1">
        <v>40788</v>
      </c>
    </row>
    <row r="206" spans="1:6" x14ac:dyDescent="0.25">
      <c r="A206">
        <v>1173226</v>
      </c>
      <c r="B206" t="s">
        <v>214</v>
      </c>
      <c r="C206" t="str">
        <f>"9780822351764"</f>
        <v>9780822351764</v>
      </c>
      <c r="D206" t="str">
        <f>"9780822395102"</f>
        <v>9780822395102</v>
      </c>
      <c r="E206" t="s">
        <v>174</v>
      </c>
      <c r="F206" s="1">
        <v>41079</v>
      </c>
    </row>
    <row r="207" spans="1:6" x14ac:dyDescent="0.25">
      <c r="A207">
        <v>1173229</v>
      </c>
      <c r="B207" t="s">
        <v>215</v>
      </c>
      <c r="C207" t="str">
        <f>"9780822352785"</f>
        <v>9780822352785</v>
      </c>
      <c r="D207" t="str">
        <f>"9780822395560"</f>
        <v>9780822395560</v>
      </c>
      <c r="E207" t="s">
        <v>174</v>
      </c>
      <c r="F207" s="1">
        <v>41295</v>
      </c>
    </row>
    <row r="208" spans="1:6" x14ac:dyDescent="0.25">
      <c r="A208">
        <v>1173241</v>
      </c>
      <c r="B208" t="s">
        <v>216</v>
      </c>
      <c r="C208" t="str">
        <f>"9780822352433"</f>
        <v>9780822352433</v>
      </c>
      <c r="D208" t="str">
        <f>"9780822395331"</f>
        <v>9780822395331</v>
      </c>
      <c r="E208" t="s">
        <v>174</v>
      </c>
      <c r="F208" s="1">
        <v>41044</v>
      </c>
    </row>
    <row r="209" spans="1:6" x14ac:dyDescent="0.25">
      <c r="A209">
        <v>1173261</v>
      </c>
      <c r="B209" t="s">
        <v>217</v>
      </c>
      <c r="C209" t="str">
        <f>"9780822354024"</f>
        <v>9780822354024</v>
      </c>
      <c r="D209" t="str">
        <f>"9780822399063"</f>
        <v>9780822399063</v>
      </c>
      <c r="E209" t="s">
        <v>174</v>
      </c>
      <c r="F209" s="1">
        <v>41344</v>
      </c>
    </row>
    <row r="210" spans="1:6" x14ac:dyDescent="0.25">
      <c r="A210">
        <v>1173268</v>
      </c>
      <c r="B210" t="s">
        <v>218</v>
      </c>
      <c r="C210" t="str">
        <f>"9780822351771"</f>
        <v>9780822351771</v>
      </c>
      <c r="D210" t="str">
        <f>"9780822395119"</f>
        <v>9780822395119</v>
      </c>
      <c r="E210" t="s">
        <v>174</v>
      </c>
      <c r="F210" s="1">
        <v>41029</v>
      </c>
    </row>
    <row r="211" spans="1:6" x14ac:dyDescent="0.25">
      <c r="A211">
        <v>1173296</v>
      </c>
      <c r="B211" t="s">
        <v>219</v>
      </c>
      <c r="C211" t="str">
        <f>"9780822352501"</f>
        <v>9780822352501</v>
      </c>
      <c r="D211" t="str">
        <f>"9780822395485"</f>
        <v>9780822395485</v>
      </c>
      <c r="E211" t="s">
        <v>174</v>
      </c>
      <c r="F211" s="1">
        <v>41065</v>
      </c>
    </row>
    <row r="212" spans="1:6" x14ac:dyDescent="0.25">
      <c r="A212">
        <v>1173303</v>
      </c>
      <c r="B212" t="s">
        <v>220</v>
      </c>
      <c r="C212" t="str">
        <f>"9780822351696"</f>
        <v>9780822351696</v>
      </c>
      <c r="D212" t="str">
        <f>"9780822395034"</f>
        <v>9780822395034</v>
      </c>
      <c r="E212" t="s">
        <v>174</v>
      </c>
      <c r="F212" s="1">
        <v>40998</v>
      </c>
    </row>
    <row r="213" spans="1:6" x14ac:dyDescent="0.25">
      <c r="A213">
        <v>1174172</v>
      </c>
      <c r="B213" t="s">
        <v>221</v>
      </c>
      <c r="C213" t="str">
        <f>"9788376560106"</f>
        <v>9788376560106</v>
      </c>
      <c r="D213" t="str">
        <f>"9788376560113"</f>
        <v>9788376560113</v>
      </c>
      <c r="E213" t="s">
        <v>73</v>
      </c>
      <c r="F213" s="1">
        <v>41452</v>
      </c>
    </row>
    <row r="214" spans="1:6" x14ac:dyDescent="0.25">
      <c r="A214">
        <v>1179263</v>
      </c>
      <c r="B214" t="s">
        <v>222</v>
      </c>
      <c r="C214" t="str">
        <f>"9780822353072"</f>
        <v>9780822353072</v>
      </c>
      <c r="D214" t="str">
        <f>"9780822395690"</f>
        <v>9780822395690</v>
      </c>
      <c r="E214" t="s">
        <v>174</v>
      </c>
      <c r="F214" s="1">
        <v>41360</v>
      </c>
    </row>
    <row r="215" spans="1:6" x14ac:dyDescent="0.25">
      <c r="A215">
        <v>1184364</v>
      </c>
      <c r="B215" t="s">
        <v>223</v>
      </c>
      <c r="C215" t="str">
        <f>"9783110320022"</f>
        <v>9783110320022</v>
      </c>
      <c r="D215" t="str">
        <f>"9783110320268"</f>
        <v>9783110320268</v>
      </c>
      <c r="E215" t="s">
        <v>73</v>
      </c>
      <c r="F215" s="1">
        <v>41806</v>
      </c>
    </row>
    <row r="216" spans="1:6" x14ac:dyDescent="0.25">
      <c r="A216">
        <v>1195380</v>
      </c>
      <c r="B216" t="s">
        <v>224</v>
      </c>
      <c r="C216" t="str">
        <f>"9783110325164"</f>
        <v>9783110325164</v>
      </c>
      <c r="D216" t="str">
        <f>"9783110325904"</f>
        <v>9783110325904</v>
      </c>
      <c r="E216" t="s">
        <v>53</v>
      </c>
      <c r="F216" s="1">
        <v>40892</v>
      </c>
    </row>
    <row r="217" spans="1:6" x14ac:dyDescent="0.25">
      <c r="A217">
        <v>1195384</v>
      </c>
      <c r="B217" t="s">
        <v>225</v>
      </c>
      <c r="C217" t="str">
        <f>"9783110328592"</f>
        <v>9783110328592</v>
      </c>
      <c r="D217" t="str">
        <f>"9783110328912"</f>
        <v>9783110328912</v>
      </c>
      <c r="E217" t="s">
        <v>53</v>
      </c>
      <c r="F217" s="1">
        <v>38913</v>
      </c>
    </row>
    <row r="218" spans="1:6" x14ac:dyDescent="0.25">
      <c r="A218">
        <v>1195385</v>
      </c>
      <c r="B218" t="s">
        <v>226</v>
      </c>
      <c r="C218" t="str">
        <f>"9783110328622"</f>
        <v>9783110328622</v>
      </c>
      <c r="D218" t="str">
        <f>"9783110328974"</f>
        <v>9783110328974</v>
      </c>
      <c r="E218" t="s">
        <v>53</v>
      </c>
      <c r="F218" s="1">
        <v>39248</v>
      </c>
    </row>
    <row r="219" spans="1:6" x14ac:dyDescent="0.25">
      <c r="A219">
        <v>1195404</v>
      </c>
      <c r="B219" t="s">
        <v>227</v>
      </c>
      <c r="C219" t="str">
        <f>"9783110330199"</f>
        <v>9783110330199</v>
      </c>
      <c r="D219" t="str">
        <f>"9783110330595"</f>
        <v>9783110330595</v>
      </c>
      <c r="E219" t="s">
        <v>53</v>
      </c>
      <c r="F219" s="1">
        <v>40373</v>
      </c>
    </row>
    <row r="220" spans="1:6" x14ac:dyDescent="0.25">
      <c r="A220">
        <v>1195405</v>
      </c>
      <c r="B220" t="s">
        <v>228</v>
      </c>
      <c r="C220" t="str">
        <f>"9783110333022"</f>
        <v>9783110333022</v>
      </c>
      <c r="D220" t="str">
        <f>"9783110333213"</f>
        <v>9783110333213</v>
      </c>
      <c r="E220" t="s">
        <v>53</v>
      </c>
      <c r="F220" s="1">
        <v>41396</v>
      </c>
    </row>
    <row r="221" spans="1:6" x14ac:dyDescent="0.25">
      <c r="A221">
        <v>1195413</v>
      </c>
      <c r="B221" t="s">
        <v>229</v>
      </c>
      <c r="C221" t="str">
        <f>"9783110328639"</f>
        <v>9783110328639</v>
      </c>
      <c r="D221" t="str">
        <f>"9783110328998"</f>
        <v>9783110328998</v>
      </c>
      <c r="E221" t="s">
        <v>53</v>
      </c>
      <c r="F221" s="1">
        <v>39614</v>
      </c>
    </row>
    <row r="222" spans="1:6" x14ac:dyDescent="0.25">
      <c r="A222">
        <v>1195435</v>
      </c>
      <c r="B222" t="s">
        <v>230</v>
      </c>
      <c r="C222" t="str">
        <f>"9783110329353"</f>
        <v>9783110329353</v>
      </c>
      <c r="D222" t="str">
        <f>"9783110329490"</f>
        <v>9783110329490</v>
      </c>
      <c r="E222" t="s">
        <v>53</v>
      </c>
      <c r="F222" s="1">
        <v>40115</v>
      </c>
    </row>
    <row r="223" spans="1:6" x14ac:dyDescent="0.25">
      <c r="A223">
        <v>1195439</v>
      </c>
      <c r="B223" t="s">
        <v>231</v>
      </c>
      <c r="C223" t="str">
        <f>"9783110327267"</f>
        <v>9783110327267</v>
      </c>
      <c r="D223" t="str">
        <f>"9783110327496"</f>
        <v>9783110327496</v>
      </c>
      <c r="E223" t="s">
        <v>53</v>
      </c>
      <c r="F223" s="1">
        <v>38336</v>
      </c>
    </row>
    <row r="224" spans="1:6" x14ac:dyDescent="0.25">
      <c r="A224">
        <v>1195442</v>
      </c>
      <c r="B224" t="s">
        <v>232</v>
      </c>
      <c r="C224" t="str">
        <f>"9783110326741"</f>
        <v>9783110326741</v>
      </c>
      <c r="D224" t="str">
        <f>"9783110327199"</f>
        <v>9783110327199</v>
      </c>
      <c r="E224" t="s">
        <v>53</v>
      </c>
      <c r="F224" s="1">
        <v>39938</v>
      </c>
    </row>
    <row r="225" spans="1:6" x14ac:dyDescent="0.25">
      <c r="A225">
        <v>1195459</v>
      </c>
      <c r="B225" t="s">
        <v>233</v>
      </c>
      <c r="C225" t="str">
        <f>"9783110330120"</f>
        <v>9783110330120</v>
      </c>
      <c r="D225" t="str">
        <f>"9783110330496"</f>
        <v>9783110330496</v>
      </c>
      <c r="E225" t="s">
        <v>53</v>
      </c>
      <c r="F225" s="1">
        <v>40754</v>
      </c>
    </row>
    <row r="226" spans="1:6" x14ac:dyDescent="0.25">
      <c r="A226">
        <v>1195474</v>
      </c>
      <c r="B226" t="s">
        <v>234</v>
      </c>
      <c r="C226" t="str">
        <f>"9783110328097"</f>
        <v>9783110328097</v>
      </c>
      <c r="D226" t="str">
        <f>"9783110328509"</f>
        <v>9783110328509</v>
      </c>
      <c r="E226" t="s">
        <v>53</v>
      </c>
      <c r="F226" s="1">
        <v>39871</v>
      </c>
    </row>
    <row r="227" spans="1:6" x14ac:dyDescent="0.25">
      <c r="A227">
        <v>1195486</v>
      </c>
      <c r="B227" t="s">
        <v>235</v>
      </c>
      <c r="C227" t="str">
        <f>"9783110330137"</f>
        <v>9783110330137</v>
      </c>
      <c r="D227" t="str">
        <f>"9783110330519"</f>
        <v>9783110330519</v>
      </c>
      <c r="E227" t="s">
        <v>53</v>
      </c>
      <c r="F227" s="1">
        <v>40754</v>
      </c>
    </row>
    <row r="228" spans="1:6" x14ac:dyDescent="0.25">
      <c r="A228">
        <v>1195506</v>
      </c>
      <c r="B228" t="s">
        <v>236</v>
      </c>
      <c r="C228" t="str">
        <f>"9783110330182"</f>
        <v>9783110330182</v>
      </c>
      <c r="D228" t="str">
        <f>"9783110330571"</f>
        <v>9783110330571</v>
      </c>
      <c r="E228" t="s">
        <v>53</v>
      </c>
      <c r="F228" s="1">
        <v>40373</v>
      </c>
    </row>
    <row r="229" spans="1:6" x14ac:dyDescent="0.25">
      <c r="A229">
        <v>1195512</v>
      </c>
      <c r="B229" t="s">
        <v>237</v>
      </c>
      <c r="C229" t="str">
        <f>"9783110328530"</f>
        <v>9783110328530</v>
      </c>
      <c r="D229" t="str">
        <f>"9783110328837"</f>
        <v>9783110328837</v>
      </c>
      <c r="E229" t="s">
        <v>53</v>
      </c>
      <c r="F229" s="1">
        <v>40905</v>
      </c>
    </row>
    <row r="230" spans="1:6" x14ac:dyDescent="0.25">
      <c r="A230">
        <v>1195514</v>
      </c>
      <c r="B230" t="s">
        <v>238</v>
      </c>
      <c r="C230" t="str">
        <f>"9783110328608"</f>
        <v>9783110328608</v>
      </c>
      <c r="D230" t="str">
        <f>"9783110328936"</f>
        <v>9783110328936</v>
      </c>
      <c r="E230" t="s">
        <v>53</v>
      </c>
      <c r="F230" s="1">
        <v>39217</v>
      </c>
    </row>
    <row r="231" spans="1:6" x14ac:dyDescent="0.25">
      <c r="A231">
        <v>1195535</v>
      </c>
      <c r="B231" t="s">
        <v>239</v>
      </c>
      <c r="C231" t="str">
        <f>"9783110326635"</f>
        <v>9783110326635</v>
      </c>
      <c r="D231" t="str">
        <f>"9783110326970"</f>
        <v>9783110326970</v>
      </c>
      <c r="E231" t="s">
        <v>53</v>
      </c>
      <c r="F231" s="1">
        <v>39128</v>
      </c>
    </row>
    <row r="232" spans="1:6" x14ac:dyDescent="0.25">
      <c r="A232">
        <v>1195545</v>
      </c>
      <c r="B232" t="s">
        <v>240</v>
      </c>
      <c r="C232" t="str">
        <f>"9783110328073"</f>
        <v>9783110328073</v>
      </c>
      <c r="D232" t="str">
        <f>"9783110328462"</f>
        <v>9783110328462</v>
      </c>
      <c r="E232" t="s">
        <v>53</v>
      </c>
      <c r="F232" s="1">
        <v>39644</v>
      </c>
    </row>
    <row r="233" spans="1:6" x14ac:dyDescent="0.25">
      <c r="A233">
        <v>1195546</v>
      </c>
      <c r="B233" t="s">
        <v>241</v>
      </c>
      <c r="C233" t="str">
        <f>"9783110328080"</f>
        <v>9783110328080</v>
      </c>
      <c r="D233" t="str">
        <f>"9783110328486"</f>
        <v>9783110328486</v>
      </c>
      <c r="E233" t="s">
        <v>53</v>
      </c>
      <c r="F233" s="1">
        <v>39644</v>
      </c>
    </row>
    <row r="234" spans="1:6" x14ac:dyDescent="0.25">
      <c r="A234">
        <v>1195558</v>
      </c>
      <c r="B234" t="s">
        <v>242</v>
      </c>
      <c r="C234" t="str">
        <f>"9783110324501"</f>
        <v>9783110324501</v>
      </c>
      <c r="D234" t="str">
        <f>"9783110324860"</f>
        <v>9783110324860</v>
      </c>
      <c r="E234" t="s">
        <v>53</v>
      </c>
      <c r="F234" s="1">
        <v>39614</v>
      </c>
    </row>
    <row r="235" spans="1:6" x14ac:dyDescent="0.25">
      <c r="A235">
        <v>1195561</v>
      </c>
      <c r="B235" t="s">
        <v>243</v>
      </c>
      <c r="C235" t="str">
        <f>"9783110326758"</f>
        <v>9783110326758</v>
      </c>
      <c r="D235" t="str">
        <f>"9783110327212"</f>
        <v>9783110327212</v>
      </c>
      <c r="E235" t="s">
        <v>53</v>
      </c>
      <c r="F235" s="1">
        <v>38457</v>
      </c>
    </row>
    <row r="236" spans="1:6" x14ac:dyDescent="0.25">
      <c r="A236">
        <v>1195574</v>
      </c>
      <c r="B236" t="s">
        <v>244</v>
      </c>
      <c r="C236" t="str">
        <f>"9783110325201"</f>
        <v>9783110325201</v>
      </c>
      <c r="D236" t="str">
        <f>"9783110325980"</f>
        <v>9783110325980</v>
      </c>
      <c r="E236" t="s">
        <v>53</v>
      </c>
      <c r="F236" s="1">
        <v>39729</v>
      </c>
    </row>
    <row r="237" spans="1:6" x14ac:dyDescent="0.25">
      <c r="A237">
        <v>1205493</v>
      </c>
      <c r="B237" t="s">
        <v>245</v>
      </c>
      <c r="C237" t="str">
        <f>"9789004235700"</f>
        <v>9789004235700</v>
      </c>
      <c r="D237" t="str">
        <f>"9789004248168"</f>
        <v>9789004248168</v>
      </c>
      <c r="E237" t="s">
        <v>246</v>
      </c>
      <c r="F237" s="1">
        <v>41411</v>
      </c>
    </row>
    <row r="238" spans="1:6" x14ac:dyDescent="0.25">
      <c r="A238">
        <v>1209316</v>
      </c>
      <c r="B238" t="s">
        <v>247</v>
      </c>
      <c r="C238" t="str">
        <f>"9783110322262"</f>
        <v>9783110322262</v>
      </c>
      <c r="D238" t="str">
        <f>"9783110322644"</f>
        <v>9783110322644</v>
      </c>
      <c r="E238" t="s">
        <v>53</v>
      </c>
      <c r="F238" s="1">
        <v>40709</v>
      </c>
    </row>
    <row r="239" spans="1:6" x14ac:dyDescent="0.25">
      <c r="A239">
        <v>1209317</v>
      </c>
      <c r="B239" t="s">
        <v>248</v>
      </c>
      <c r="C239" t="str">
        <f>"9783110322316"</f>
        <v>9783110322316</v>
      </c>
      <c r="D239" t="str">
        <f>"9783110322743"</f>
        <v>9783110322743</v>
      </c>
      <c r="E239" t="s">
        <v>53</v>
      </c>
      <c r="F239" s="1">
        <v>37483</v>
      </c>
    </row>
    <row r="240" spans="1:6" x14ac:dyDescent="0.25">
      <c r="A240">
        <v>1209342</v>
      </c>
      <c r="B240" t="s">
        <v>249</v>
      </c>
      <c r="C240" t="str">
        <f>"9783110322309"</f>
        <v>9783110322309</v>
      </c>
      <c r="D240" t="str">
        <f>"9783110322729"</f>
        <v>9783110322729</v>
      </c>
      <c r="E240" t="s">
        <v>53</v>
      </c>
      <c r="F240" s="1">
        <v>41167</v>
      </c>
    </row>
    <row r="241" spans="1:6" x14ac:dyDescent="0.25">
      <c r="A241">
        <v>1209346</v>
      </c>
      <c r="B241" t="s">
        <v>250</v>
      </c>
      <c r="C241" t="str">
        <f>"9783110325133"</f>
        <v>9783110325133</v>
      </c>
      <c r="D241" t="str">
        <f>"9783110325843"</f>
        <v>9783110325843</v>
      </c>
      <c r="E241" t="s">
        <v>53</v>
      </c>
      <c r="F241" s="1">
        <v>41214</v>
      </c>
    </row>
    <row r="242" spans="1:6" x14ac:dyDescent="0.25">
      <c r="A242">
        <v>1209347</v>
      </c>
      <c r="B242" t="s">
        <v>251</v>
      </c>
      <c r="C242" t="str">
        <f>"9783110325263"</f>
        <v>9783110325263</v>
      </c>
      <c r="D242" t="str">
        <f>"9783110326109"</f>
        <v>9783110326109</v>
      </c>
      <c r="E242" t="s">
        <v>53</v>
      </c>
      <c r="F242" s="1">
        <v>40231</v>
      </c>
    </row>
    <row r="243" spans="1:6" x14ac:dyDescent="0.25">
      <c r="A243">
        <v>1215533</v>
      </c>
      <c r="B243" t="s">
        <v>252</v>
      </c>
      <c r="C243" t="str">
        <f>"9783110319996"</f>
        <v>9783110319996</v>
      </c>
      <c r="D243" t="str">
        <f>"9783110320206"</f>
        <v>9783110320206</v>
      </c>
      <c r="E243" t="s">
        <v>53</v>
      </c>
      <c r="F243" s="1">
        <v>40983</v>
      </c>
    </row>
    <row r="244" spans="1:6" x14ac:dyDescent="0.25">
      <c r="A244">
        <v>1215551</v>
      </c>
      <c r="B244" t="s">
        <v>253</v>
      </c>
      <c r="C244" t="str">
        <f>"9783110321050"</f>
        <v>9783110321050</v>
      </c>
      <c r="D244" t="str">
        <f>"9783110321364"</f>
        <v>9783110321364</v>
      </c>
      <c r="E244" t="s">
        <v>53</v>
      </c>
      <c r="F244" s="1">
        <v>39522</v>
      </c>
    </row>
    <row r="245" spans="1:6" x14ac:dyDescent="0.25">
      <c r="A245">
        <v>1215560</v>
      </c>
      <c r="B245" t="s">
        <v>254</v>
      </c>
      <c r="C245" t="str">
        <f>"9783110322224"</f>
        <v>9783110322224</v>
      </c>
      <c r="D245" t="str">
        <f>"9783110322569"</f>
        <v>9783110322569</v>
      </c>
      <c r="E245" t="s">
        <v>53</v>
      </c>
      <c r="F245" s="1">
        <v>40589</v>
      </c>
    </row>
    <row r="246" spans="1:6" x14ac:dyDescent="0.25">
      <c r="A246">
        <v>1215562</v>
      </c>
      <c r="B246" t="s">
        <v>255</v>
      </c>
      <c r="C246" t="str">
        <f>"9783110322286"</f>
        <v>9783110322286</v>
      </c>
      <c r="D246" t="str">
        <f>"9783110322682"</f>
        <v>9783110322682</v>
      </c>
      <c r="E246" t="s">
        <v>53</v>
      </c>
      <c r="F246" s="1">
        <v>41014</v>
      </c>
    </row>
    <row r="247" spans="1:6" x14ac:dyDescent="0.25">
      <c r="A247">
        <v>1215563</v>
      </c>
      <c r="B247" t="s">
        <v>256</v>
      </c>
      <c r="C247" t="str">
        <f>"9783110322293"</f>
        <v>9783110322293</v>
      </c>
      <c r="D247" t="str">
        <f>"9783110322705"</f>
        <v>9783110322705</v>
      </c>
      <c r="E247" t="s">
        <v>53</v>
      </c>
      <c r="F247" s="1">
        <v>41014</v>
      </c>
    </row>
    <row r="248" spans="1:6" x14ac:dyDescent="0.25">
      <c r="A248">
        <v>1215569</v>
      </c>
      <c r="B248" t="s">
        <v>257</v>
      </c>
      <c r="C248" t="str">
        <f>"9783110322866"</f>
        <v>9783110322866</v>
      </c>
      <c r="D248" t="str">
        <f>"9783110323306"</f>
        <v>9783110323306</v>
      </c>
      <c r="E248" t="s">
        <v>53</v>
      </c>
      <c r="F248" s="1">
        <v>38944</v>
      </c>
    </row>
    <row r="249" spans="1:6" x14ac:dyDescent="0.25">
      <c r="A249">
        <v>1215571</v>
      </c>
      <c r="B249" t="s">
        <v>258</v>
      </c>
      <c r="C249" t="str">
        <f>"9783110322880"</f>
        <v>9783110322880</v>
      </c>
      <c r="D249" t="str">
        <f>"9783110323344"</f>
        <v>9783110323344</v>
      </c>
      <c r="E249" t="s">
        <v>53</v>
      </c>
      <c r="F249" s="1">
        <v>39156</v>
      </c>
    </row>
    <row r="250" spans="1:6" x14ac:dyDescent="0.25">
      <c r="A250">
        <v>1215593</v>
      </c>
      <c r="B250" t="s">
        <v>259</v>
      </c>
      <c r="C250" t="str">
        <f>"9783110325171"</f>
        <v>9783110325171</v>
      </c>
      <c r="D250" t="str">
        <f>"9783110325928"</f>
        <v>9783110325928</v>
      </c>
      <c r="E250" t="s">
        <v>53</v>
      </c>
      <c r="F250" s="1">
        <v>41320</v>
      </c>
    </row>
    <row r="251" spans="1:6" x14ac:dyDescent="0.25">
      <c r="A251">
        <v>1215602</v>
      </c>
      <c r="B251" t="s">
        <v>260</v>
      </c>
      <c r="C251" t="str">
        <f>"9783110326536"</f>
        <v>9783110326536</v>
      </c>
      <c r="D251" t="str">
        <f>"9783110326857"</f>
        <v>9783110326857</v>
      </c>
      <c r="E251" t="s">
        <v>53</v>
      </c>
      <c r="F251" s="1">
        <v>38183</v>
      </c>
    </row>
    <row r="252" spans="1:6" x14ac:dyDescent="0.25">
      <c r="A252">
        <v>1215617</v>
      </c>
      <c r="B252" t="s">
        <v>261</v>
      </c>
      <c r="C252" t="str">
        <f>"9783110328547"</f>
        <v>9783110328547</v>
      </c>
      <c r="D252" t="str">
        <f>"9783110328851"</f>
        <v>9783110328851</v>
      </c>
      <c r="E252" t="s">
        <v>53</v>
      </c>
      <c r="F252" s="1">
        <v>40016</v>
      </c>
    </row>
    <row r="253" spans="1:6" x14ac:dyDescent="0.25">
      <c r="A253">
        <v>1215618</v>
      </c>
      <c r="B253" t="s">
        <v>262</v>
      </c>
      <c r="C253" t="str">
        <f>"9783110328578"</f>
        <v>9783110328578</v>
      </c>
      <c r="D253" t="str">
        <f>"9783110328875"</f>
        <v>9783110328875</v>
      </c>
      <c r="E253" t="s">
        <v>53</v>
      </c>
      <c r="F253" s="1">
        <v>40016</v>
      </c>
    </row>
    <row r="254" spans="1:6" x14ac:dyDescent="0.25">
      <c r="A254">
        <v>1215619</v>
      </c>
      <c r="B254" t="s">
        <v>263</v>
      </c>
      <c r="C254" t="str">
        <f>"9783110328523"</f>
        <v>9783110328523</v>
      </c>
      <c r="D254" t="str">
        <f>"9783110328813"</f>
        <v>9783110328813</v>
      </c>
      <c r="E254" t="s">
        <v>53</v>
      </c>
      <c r="F254" s="1">
        <v>39948</v>
      </c>
    </row>
    <row r="255" spans="1:6" x14ac:dyDescent="0.25">
      <c r="A255">
        <v>1215623</v>
      </c>
      <c r="B255" t="s">
        <v>264</v>
      </c>
      <c r="C255" t="str">
        <f>"9783110329346"</f>
        <v>9783110329346</v>
      </c>
      <c r="D255" t="str">
        <f>"9783110329476"</f>
        <v>9783110329476</v>
      </c>
      <c r="E255" t="s">
        <v>53</v>
      </c>
      <c r="F255" s="1">
        <v>40016</v>
      </c>
    </row>
    <row r="256" spans="1:6" x14ac:dyDescent="0.25">
      <c r="A256">
        <v>1249741</v>
      </c>
      <c r="B256" t="s">
        <v>265</v>
      </c>
      <c r="C256" t="str">
        <f>"9783110334357"</f>
        <v>9783110334357</v>
      </c>
      <c r="D256" t="str">
        <f>"9783110334395"</f>
        <v>9783110334395</v>
      </c>
      <c r="E256" t="s">
        <v>53</v>
      </c>
      <c r="F256" s="1">
        <v>41687</v>
      </c>
    </row>
    <row r="257" spans="1:6" x14ac:dyDescent="0.25">
      <c r="A257">
        <v>1249831</v>
      </c>
      <c r="B257" t="s">
        <v>266</v>
      </c>
      <c r="C257" t="str">
        <f>"9788376560557"</f>
        <v>9788376560557</v>
      </c>
      <c r="D257" t="str">
        <f>"9788376560564"</f>
        <v>9788376560564</v>
      </c>
      <c r="E257" t="s">
        <v>73</v>
      </c>
      <c r="F257" s="1">
        <v>41610</v>
      </c>
    </row>
    <row r="258" spans="1:6" x14ac:dyDescent="0.25">
      <c r="A258">
        <v>1249964</v>
      </c>
      <c r="B258" t="s">
        <v>267</v>
      </c>
      <c r="C258" t="str">
        <f>"9783598251290"</f>
        <v>9783598251290</v>
      </c>
      <c r="D258" t="str">
        <f>"9783110298437"</f>
        <v>9783110298437</v>
      </c>
      <c r="E258" t="s">
        <v>73</v>
      </c>
      <c r="F258" s="1">
        <v>41772</v>
      </c>
    </row>
    <row r="259" spans="1:6" x14ac:dyDescent="0.25">
      <c r="A259">
        <v>1249965</v>
      </c>
      <c r="B259" t="s">
        <v>268</v>
      </c>
      <c r="C259" t="str">
        <f>"9788376560526"</f>
        <v>9788376560526</v>
      </c>
      <c r="D259" t="str">
        <f>"9788376560533"</f>
        <v>9788376560533</v>
      </c>
      <c r="E259" t="s">
        <v>73</v>
      </c>
      <c r="F259" s="1">
        <v>42089</v>
      </c>
    </row>
    <row r="260" spans="1:6" x14ac:dyDescent="0.25">
      <c r="A260">
        <v>1249968</v>
      </c>
      <c r="B260" t="s">
        <v>269</v>
      </c>
      <c r="C260" t="str">
        <f>"9788376560403"</f>
        <v>9788376560403</v>
      </c>
      <c r="D260" t="str">
        <f>"9788376560410"</f>
        <v>9788376560410</v>
      </c>
      <c r="E260" t="s">
        <v>73</v>
      </c>
      <c r="F260" s="1">
        <v>41662</v>
      </c>
    </row>
    <row r="261" spans="1:6" x14ac:dyDescent="0.25">
      <c r="A261">
        <v>1249969</v>
      </c>
      <c r="B261" t="s">
        <v>270</v>
      </c>
      <c r="C261" t="str">
        <f>"9788376560137"</f>
        <v>9788376560137</v>
      </c>
      <c r="D261" t="str">
        <f>"9788376560144"</f>
        <v>9788376560144</v>
      </c>
      <c r="E261" t="s">
        <v>73</v>
      </c>
      <c r="F261" s="1">
        <v>42143</v>
      </c>
    </row>
    <row r="262" spans="1:6" x14ac:dyDescent="0.25">
      <c r="A262">
        <v>1249975</v>
      </c>
      <c r="B262" t="s">
        <v>271</v>
      </c>
      <c r="C262" t="str">
        <f>"9788376560373"</f>
        <v>9788376560373</v>
      </c>
      <c r="D262" t="str">
        <f>"9788376560380"</f>
        <v>9788376560380</v>
      </c>
      <c r="E262" t="s">
        <v>73</v>
      </c>
      <c r="F262" s="1">
        <v>41505</v>
      </c>
    </row>
    <row r="263" spans="1:6" x14ac:dyDescent="0.25">
      <c r="A263">
        <v>1249976</v>
      </c>
      <c r="B263" t="s">
        <v>272</v>
      </c>
      <c r="C263" t="str">
        <f>"9788376560281"</f>
        <v>9788376560281</v>
      </c>
      <c r="D263" t="str">
        <f>"9788376560298"</f>
        <v>9788376560298</v>
      </c>
      <c r="E263" t="s">
        <v>73</v>
      </c>
      <c r="F263" s="1">
        <v>41662</v>
      </c>
    </row>
    <row r="264" spans="1:6" x14ac:dyDescent="0.25">
      <c r="A264">
        <v>1249979</v>
      </c>
      <c r="B264" t="s">
        <v>273</v>
      </c>
      <c r="C264" t="str">
        <f>"9788376560311"</f>
        <v>9788376560311</v>
      </c>
      <c r="D264" t="str">
        <f>"9788376560328"</f>
        <v>9788376560328</v>
      </c>
      <c r="E264" t="s">
        <v>73</v>
      </c>
      <c r="F264" s="1">
        <v>41848</v>
      </c>
    </row>
    <row r="265" spans="1:6" x14ac:dyDescent="0.25">
      <c r="A265">
        <v>1249991</v>
      </c>
      <c r="B265" t="s">
        <v>274</v>
      </c>
      <c r="C265" t="str">
        <f>"9788376560342"</f>
        <v>9788376560342</v>
      </c>
      <c r="D265" t="str">
        <f>"9788376560359"</f>
        <v>9788376560359</v>
      </c>
      <c r="E265" t="s">
        <v>73</v>
      </c>
      <c r="F265" s="1">
        <v>41696</v>
      </c>
    </row>
    <row r="266" spans="1:6" x14ac:dyDescent="0.25">
      <c r="A266">
        <v>1249993</v>
      </c>
      <c r="B266" t="s">
        <v>275</v>
      </c>
      <c r="C266" t="str">
        <f>"9788376560434"</f>
        <v>9788376560434</v>
      </c>
      <c r="D266" t="str">
        <f>"9788376560441"</f>
        <v>9788376560441</v>
      </c>
      <c r="E266" t="s">
        <v>73</v>
      </c>
      <c r="F266" s="1">
        <v>41569</v>
      </c>
    </row>
    <row r="267" spans="1:6" x14ac:dyDescent="0.25">
      <c r="A267">
        <v>1317866</v>
      </c>
      <c r="B267" t="s">
        <v>276</v>
      </c>
      <c r="C267" t="str">
        <f>"9788376560496"</f>
        <v>9788376560496</v>
      </c>
      <c r="D267" t="str">
        <f>"9788376560502"</f>
        <v>9788376560502</v>
      </c>
      <c r="E267" t="s">
        <v>73</v>
      </c>
      <c r="F267" s="1">
        <v>41505</v>
      </c>
    </row>
    <row r="268" spans="1:6" x14ac:dyDescent="0.25">
      <c r="A268">
        <v>1317872</v>
      </c>
      <c r="B268" t="s">
        <v>277</v>
      </c>
      <c r="C268" t="str">
        <f>"9788376560588"</f>
        <v>9788376560588</v>
      </c>
      <c r="D268" t="str">
        <f>"9788376560595"</f>
        <v>9788376560595</v>
      </c>
      <c r="E268" t="s">
        <v>73</v>
      </c>
      <c r="F268" s="1">
        <v>41670</v>
      </c>
    </row>
    <row r="269" spans="1:6" x14ac:dyDescent="0.25">
      <c r="A269">
        <v>1344875</v>
      </c>
      <c r="B269" t="s">
        <v>278</v>
      </c>
      <c r="C269" t="str">
        <f>"9783486565331"</f>
        <v>9783486565331</v>
      </c>
      <c r="D269" t="str">
        <f>"9783486707564"</f>
        <v>9783486707564</v>
      </c>
      <c r="E269" t="s">
        <v>73</v>
      </c>
      <c r="F269" s="1">
        <v>37230</v>
      </c>
    </row>
    <row r="270" spans="1:6" x14ac:dyDescent="0.25">
      <c r="A270">
        <v>1344891</v>
      </c>
      <c r="B270" t="s">
        <v>279</v>
      </c>
      <c r="C270" t="str">
        <f>"9788376560250"</f>
        <v>9788376560250</v>
      </c>
      <c r="D270" t="str">
        <f>"9788376560267"</f>
        <v>9788376560267</v>
      </c>
      <c r="E270" t="s">
        <v>73</v>
      </c>
      <c r="F270" s="1">
        <v>41626</v>
      </c>
    </row>
    <row r="271" spans="1:6" x14ac:dyDescent="0.25">
      <c r="A271">
        <v>1344896</v>
      </c>
      <c r="B271" t="s">
        <v>280</v>
      </c>
      <c r="C271" t="str">
        <f>"9783486578461"</f>
        <v>9783486578461</v>
      </c>
      <c r="D271" t="str">
        <f>"9783486707663"</f>
        <v>9783486707663</v>
      </c>
      <c r="E271" t="s">
        <v>73</v>
      </c>
      <c r="F271" s="1">
        <v>38665</v>
      </c>
    </row>
    <row r="272" spans="1:6" x14ac:dyDescent="0.25">
      <c r="A272">
        <v>1345171</v>
      </c>
      <c r="B272" t="s">
        <v>281</v>
      </c>
      <c r="C272" t="str">
        <f>"9783486597042"</f>
        <v>9783486597042</v>
      </c>
      <c r="D272" t="str">
        <f>"9783486719383"</f>
        <v>9783486719383</v>
      </c>
      <c r="E272" t="s">
        <v>73</v>
      </c>
      <c r="F272" s="1">
        <v>40625</v>
      </c>
    </row>
    <row r="273" spans="1:6" x14ac:dyDescent="0.25">
      <c r="A273">
        <v>1347153</v>
      </c>
      <c r="B273" t="s">
        <v>282</v>
      </c>
      <c r="C273" t="str">
        <f>"9783486597714"</f>
        <v>9783486597714</v>
      </c>
      <c r="D273" t="str">
        <f>"9783486719390"</f>
        <v>9783486719390</v>
      </c>
      <c r="E273" t="s">
        <v>73</v>
      </c>
      <c r="F273" s="1">
        <v>40751</v>
      </c>
    </row>
    <row r="274" spans="1:6" x14ac:dyDescent="0.25">
      <c r="A274">
        <v>1347205</v>
      </c>
      <c r="B274" t="s">
        <v>283</v>
      </c>
      <c r="C274" t="str">
        <f>"9783486706710"</f>
        <v>9783486706710</v>
      </c>
      <c r="D274" t="str">
        <f>"9783486715194"</f>
        <v>9783486715194</v>
      </c>
      <c r="E274" t="s">
        <v>73</v>
      </c>
      <c r="F274" s="1">
        <v>40961</v>
      </c>
    </row>
    <row r="275" spans="1:6" x14ac:dyDescent="0.25">
      <c r="A275">
        <v>1377062</v>
      </c>
      <c r="B275" t="s">
        <v>284</v>
      </c>
      <c r="C275" t="str">
        <f>"9783110339765"</f>
        <v>9783110339765</v>
      </c>
      <c r="D275" t="str">
        <f>"9783110339789"</f>
        <v>9783110339789</v>
      </c>
      <c r="E275" t="s">
        <v>73</v>
      </c>
      <c r="F275" s="1">
        <v>41988</v>
      </c>
    </row>
    <row r="276" spans="1:6" x14ac:dyDescent="0.25">
      <c r="A276">
        <v>1377095</v>
      </c>
      <c r="B276" t="s">
        <v>285</v>
      </c>
      <c r="C276" t="str">
        <f>"9783110330847"</f>
        <v>9783110330847</v>
      </c>
      <c r="D276" t="str">
        <f>"9783110330953"</f>
        <v>9783110330953</v>
      </c>
      <c r="E276" t="s">
        <v>53</v>
      </c>
      <c r="F276" s="1">
        <v>41870</v>
      </c>
    </row>
    <row r="277" spans="1:6" x14ac:dyDescent="0.25">
      <c r="A277">
        <v>1377117</v>
      </c>
      <c r="B277" t="s">
        <v>286</v>
      </c>
      <c r="C277" t="str">
        <f>"9783110300987"</f>
        <v>9783110300987</v>
      </c>
      <c r="D277" t="str">
        <f>"9783110301342"</f>
        <v>9783110301342</v>
      </c>
      <c r="E277" t="s">
        <v>53</v>
      </c>
      <c r="F277" s="1">
        <v>41620</v>
      </c>
    </row>
    <row r="278" spans="1:6" x14ac:dyDescent="0.25">
      <c r="A278">
        <v>1377136</v>
      </c>
      <c r="B278" t="s">
        <v>287</v>
      </c>
      <c r="C278" t="str">
        <f>"9783110337457"</f>
        <v>9783110337457</v>
      </c>
      <c r="D278" t="str">
        <f>"9783110337594"</f>
        <v>9783110337594</v>
      </c>
      <c r="E278" t="s">
        <v>53</v>
      </c>
      <c r="F278" s="1">
        <v>41960</v>
      </c>
    </row>
    <row r="279" spans="1:6" x14ac:dyDescent="0.25">
      <c r="A279">
        <v>1394738</v>
      </c>
      <c r="B279" t="s">
        <v>288</v>
      </c>
      <c r="C279" t="str">
        <f>"9783486761368"</f>
        <v>9783486761368</v>
      </c>
      <c r="D279" t="str">
        <f>"9783486858662"</f>
        <v>9783486858662</v>
      </c>
      <c r="E279" t="s">
        <v>73</v>
      </c>
      <c r="F279" s="1">
        <v>41960</v>
      </c>
    </row>
    <row r="280" spans="1:6" x14ac:dyDescent="0.25">
      <c r="A280">
        <v>1394781</v>
      </c>
      <c r="B280" t="s">
        <v>289</v>
      </c>
      <c r="C280" t="str">
        <f>"9783486765380"</f>
        <v>9783486765380</v>
      </c>
      <c r="D280" t="str">
        <f>"9783486858846"</f>
        <v>9783486858846</v>
      </c>
      <c r="E280" t="s">
        <v>73</v>
      </c>
      <c r="F280" s="1">
        <v>41897</v>
      </c>
    </row>
    <row r="281" spans="1:6" x14ac:dyDescent="0.25">
      <c r="A281">
        <v>1394810</v>
      </c>
      <c r="B281" t="s">
        <v>290</v>
      </c>
      <c r="C281" t="str">
        <f>"9783486717150"</f>
        <v>9783486717150</v>
      </c>
      <c r="D281" t="str">
        <f>"9783486755732"</f>
        <v>9783486755732</v>
      </c>
      <c r="E281" t="s">
        <v>73</v>
      </c>
      <c r="F281" s="1">
        <v>41533</v>
      </c>
    </row>
    <row r="282" spans="1:6" x14ac:dyDescent="0.25">
      <c r="A282">
        <v>1433395</v>
      </c>
      <c r="B282" t="s">
        <v>291</v>
      </c>
      <c r="C282" t="str">
        <f>"9783486585858"</f>
        <v>9783486585858</v>
      </c>
      <c r="D282" t="str">
        <f>"9783486989274"</f>
        <v>9783486989274</v>
      </c>
      <c r="E282" t="s">
        <v>73</v>
      </c>
      <c r="F282" s="1">
        <v>39524</v>
      </c>
    </row>
    <row r="283" spans="1:6" x14ac:dyDescent="0.25">
      <c r="A283">
        <v>1433428</v>
      </c>
      <c r="B283" t="s">
        <v>292</v>
      </c>
      <c r="C283" t="str">
        <f>"9788376560731"</f>
        <v>9788376560731</v>
      </c>
      <c r="D283" t="str">
        <f>"9788376560748"</f>
        <v>9788376560748</v>
      </c>
      <c r="E283" t="s">
        <v>73</v>
      </c>
      <c r="F283" s="1">
        <v>41610</v>
      </c>
    </row>
    <row r="284" spans="1:6" x14ac:dyDescent="0.25">
      <c r="A284">
        <v>1433435</v>
      </c>
      <c r="B284" t="s">
        <v>293</v>
      </c>
      <c r="C284" t="str">
        <f>"9783486591408"</f>
        <v>9783486591408</v>
      </c>
      <c r="D284" t="str">
        <f>"9783486989298"</f>
        <v>9783486989298</v>
      </c>
      <c r="E284" t="s">
        <v>73</v>
      </c>
      <c r="F284" s="1">
        <v>40093</v>
      </c>
    </row>
    <row r="285" spans="1:6" x14ac:dyDescent="0.25">
      <c r="A285">
        <v>1433436</v>
      </c>
      <c r="B285" t="s">
        <v>294</v>
      </c>
      <c r="C285" t="str">
        <f>"9783486591446"</f>
        <v>9783486591446</v>
      </c>
      <c r="D285" t="str">
        <f>"9783486989281"</f>
        <v>9783486989281</v>
      </c>
      <c r="E285" t="s">
        <v>73</v>
      </c>
      <c r="F285" s="1">
        <v>40093</v>
      </c>
    </row>
    <row r="286" spans="1:6" x14ac:dyDescent="0.25">
      <c r="A286">
        <v>1480531</v>
      </c>
      <c r="B286" t="s">
        <v>295</v>
      </c>
      <c r="C286" t="str">
        <f>"9788376560199"</f>
        <v>9788376560199</v>
      </c>
      <c r="D286" t="str">
        <f>"9788376560205"</f>
        <v>9788376560205</v>
      </c>
      <c r="E286" t="s">
        <v>73</v>
      </c>
      <c r="F286" s="1">
        <v>42527</v>
      </c>
    </row>
    <row r="287" spans="1:6" x14ac:dyDescent="0.25">
      <c r="A287">
        <v>1524370</v>
      </c>
      <c r="B287" t="s">
        <v>296</v>
      </c>
      <c r="C287" t="str">
        <f>"9783110345483"</f>
        <v>9783110345483</v>
      </c>
      <c r="D287" t="str">
        <f>"9783110347302"</f>
        <v>9783110347302</v>
      </c>
      <c r="E287" t="s">
        <v>53</v>
      </c>
      <c r="F287" s="1">
        <v>41925</v>
      </c>
    </row>
    <row r="288" spans="1:6" x14ac:dyDescent="0.25">
      <c r="A288">
        <v>1524372</v>
      </c>
      <c r="B288" t="s">
        <v>297</v>
      </c>
      <c r="C288" t="str">
        <f>"9783486585087"</f>
        <v>9783486585087</v>
      </c>
      <c r="D288" t="str">
        <f>"9783486989267"</f>
        <v>9783486989267</v>
      </c>
      <c r="E288" t="s">
        <v>73</v>
      </c>
      <c r="F288" s="1">
        <v>39391</v>
      </c>
    </row>
    <row r="289" spans="1:6" x14ac:dyDescent="0.25">
      <c r="A289">
        <v>1524378</v>
      </c>
      <c r="B289" t="s">
        <v>298</v>
      </c>
      <c r="C289" t="str">
        <f>"9788376560700"</f>
        <v>9788376560700</v>
      </c>
      <c r="D289" t="str">
        <f>"9788376560717"</f>
        <v>9788376560717</v>
      </c>
      <c r="E289" t="s">
        <v>73</v>
      </c>
      <c r="F289" s="1">
        <v>41878</v>
      </c>
    </row>
    <row r="290" spans="1:6" x14ac:dyDescent="0.25">
      <c r="A290">
        <v>1524415</v>
      </c>
      <c r="B290" t="s">
        <v>299</v>
      </c>
      <c r="C290" t="str">
        <f>"9788376560670"</f>
        <v>9788376560670</v>
      </c>
      <c r="D290" t="str">
        <f>"9783110368123"</f>
        <v>9783110368123</v>
      </c>
      <c r="E290" t="s">
        <v>73</v>
      </c>
      <c r="F290" s="1">
        <v>41844</v>
      </c>
    </row>
    <row r="291" spans="1:6" x14ac:dyDescent="0.25">
      <c r="A291">
        <v>1563454</v>
      </c>
      <c r="B291" t="s">
        <v>300</v>
      </c>
      <c r="C291" t="str">
        <f>"9788376560229"</f>
        <v>9788376560229</v>
      </c>
      <c r="D291" t="str">
        <f>"9788376560236"</f>
        <v>9788376560236</v>
      </c>
      <c r="E291" t="s">
        <v>73</v>
      </c>
      <c r="F291" s="1">
        <v>41610</v>
      </c>
    </row>
    <row r="292" spans="1:6" x14ac:dyDescent="0.25">
      <c r="A292">
        <v>1575463</v>
      </c>
      <c r="B292" t="s">
        <v>301</v>
      </c>
      <c r="C292" t="str">
        <f>"9788376560649"</f>
        <v>9788376560649</v>
      </c>
      <c r="D292" t="str">
        <f>"9783110368147"</f>
        <v>9783110368147</v>
      </c>
      <c r="E292" t="s">
        <v>73</v>
      </c>
      <c r="F292" s="1">
        <v>41814</v>
      </c>
    </row>
    <row r="293" spans="1:6" x14ac:dyDescent="0.25">
      <c r="A293">
        <v>1586238</v>
      </c>
      <c r="B293" t="s">
        <v>302</v>
      </c>
      <c r="C293" t="str">
        <f>"9783110350524"</f>
        <v>9783110350524</v>
      </c>
      <c r="D293" t="str">
        <f>"9783110350548"</f>
        <v>9783110350548</v>
      </c>
      <c r="E293" t="s">
        <v>53</v>
      </c>
      <c r="F293" s="1">
        <v>41627</v>
      </c>
    </row>
    <row r="294" spans="1:6" x14ac:dyDescent="0.25">
      <c r="A294">
        <v>1597580</v>
      </c>
      <c r="B294" t="s">
        <v>303</v>
      </c>
      <c r="C294" t="str">
        <f>"9783110354645"</f>
        <v>9783110354645</v>
      </c>
      <c r="D294" t="str">
        <f>"9783110354782"</f>
        <v>9783110354782</v>
      </c>
      <c r="E294" t="s">
        <v>53</v>
      </c>
      <c r="F294" s="1">
        <v>41687</v>
      </c>
    </row>
    <row r="295" spans="1:6" x14ac:dyDescent="0.25">
      <c r="A295">
        <v>1603736</v>
      </c>
      <c r="B295" t="s">
        <v>304</v>
      </c>
      <c r="C295" t="str">
        <f>"9780822354857"</f>
        <v>9780822354857</v>
      </c>
      <c r="D295" t="str">
        <f>"9780822378259"</f>
        <v>9780822378259</v>
      </c>
      <c r="E295" t="s">
        <v>174</v>
      </c>
      <c r="F295" s="1">
        <v>41593</v>
      </c>
    </row>
    <row r="296" spans="1:6" x14ac:dyDescent="0.25">
      <c r="A296">
        <v>1603739</v>
      </c>
      <c r="B296" t="s">
        <v>305</v>
      </c>
      <c r="C296" t="str">
        <f>"9780822355427"</f>
        <v>9780822355427</v>
      </c>
      <c r="D296" t="str">
        <f>"9780822377306"</f>
        <v>9780822377306</v>
      </c>
      <c r="E296" t="s">
        <v>174</v>
      </c>
      <c r="F296" s="1">
        <v>41628</v>
      </c>
    </row>
    <row r="297" spans="1:6" x14ac:dyDescent="0.25">
      <c r="A297">
        <v>1603762</v>
      </c>
      <c r="B297" t="s">
        <v>306</v>
      </c>
      <c r="C297" t="str">
        <f>"9780822355717"</f>
        <v>9780822355717</v>
      </c>
      <c r="D297" t="str">
        <f>"9780822377177"</f>
        <v>9780822377177</v>
      </c>
      <c r="E297" t="s">
        <v>174</v>
      </c>
      <c r="F297" s="1">
        <v>41614</v>
      </c>
    </row>
    <row r="298" spans="1:6" x14ac:dyDescent="0.25">
      <c r="A298">
        <v>1603773</v>
      </c>
      <c r="B298" t="s">
        <v>307</v>
      </c>
      <c r="C298" t="str">
        <f>"9780822354680"</f>
        <v>9780822354680</v>
      </c>
      <c r="D298" t="str">
        <f>"9780822378280"</f>
        <v>9780822378280</v>
      </c>
      <c r="E298" t="s">
        <v>174</v>
      </c>
      <c r="F298" s="1">
        <v>41584</v>
      </c>
    </row>
    <row r="299" spans="1:6" x14ac:dyDescent="0.25">
      <c r="A299">
        <v>1603780</v>
      </c>
      <c r="B299" t="s">
        <v>308</v>
      </c>
      <c r="C299" t="str">
        <f>"9780822355168"</f>
        <v>9780822355168</v>
      </c>
      <c r="D299" t="str">
        <f>"9780822377474"</f>
        <v>9780822377474</v>
      </c>
      <c r="E299" t="s">
        <v>174</v>
      </c>
      <c r="F299" s="1">
        <v>41557</v>
      </c>
    </row>
    <row r="300" spans="1:6" x14ac:dyDescent="0.25">
      <c r="A300">
        <v>1609411</v>
      </c>
      <c r="B300" t="s">
        <v>309</v>
      </c>
      <c r="C300" t="str">
        <f>"9788376560908"</f>
        <v>9788376560908</v>
      </c>
      <c r="D300" t="str">
        <f>"9788376560915"</f>
        <v>9788376560915</v>
      </c>
      <c r="E300" t="s">
        <v>73</v>
      </c>
      <c r="F300" s="1">
        <v>41673</v>
      </c>
    </row>
    <row r="301" spans="1:6" x14ac:dyDescent="0.25">
      <c r="A301">
        <v>1609443</v>
      </c>
      <c r="B301" t="s">
        <v>310</v>
      </c>
      <c r="C301" t="str">
        <f>"9788376560755"</f>
        <v>9788376560755</v>
      </c>
      <c r="D301" t="str">
        <f>"9788376560762"</f>
        <v>9788376560762</v>
      </c>
      <c r="E301" t="s">
        <v>73</v>
      </c>
      <c r="F301" s="1">
        <v>41673</v>
      </c>
    </row>
    <row r="302" spans="1:6" x14ac:dyDescent="0.25">
      <c r="A302">
        <v>1609457</v>
      </c>
      <c r="B302" t="s">
        <v>311</v>
      </c>
      <c r="C302" t="str">
        <f>"9788376560878"</f>
        <v>9788376560878</v>
      </c>
      <c r="D302" t="str">
        <f>"9788376560885"</f>
        <v>9788376560885</v>
      </c>
      <c r="E302" t="s">
        <v>73</v>
      </c>
      <c r="F302" s="1">
        <v>41673</v>
      </c>
    </row>
    <row r="303" spans="1:6" x14ac:dyDescent="0.25">
      <c r="A303">
        <v>1632035</v>
      </c>
      <c r="B303" t="s">
        <v>312</v>
      </c>
      <c r="C303" t="str">
        <f>"9780822355151"</f>
        <v>9780822355151</v>
      </c>
      <c r="D303" t="str">
        <f>"9780822377467"</f>
        <v>9780822377467</v>
      </c>
      <c r="E303" t="s">
        <v>174</v>
      </c>
      <c r="F303" s="1">
        <v>41691</v>
      </c>
    </row>
    <row r="304" spans="1:6" x14ac:dyDescent="0.25">
      <c r="A304">
        <v>1632039</v>
      </c>
      <c r="B304" t="s">
        <v>313</v>
      </c>
      <c r="C304" t="str">
        <f>"9780822355793"</f>
        <v>9780822355793</v>
      </c>
      <c r="D304" t="str">
        <f>"9780822377078"</f>
        <v>9780822377078</v>
      </c>
      <c r="E304" t="s">
        <v>174</v>
      </c>
      <c r="F304" s="1">
        <v>41649</v>
      </c>
    </row>
    <row r="305" spans="1:6" x14ac:dyDescent="0.25">
      <c r="A305">
        <v>1634353</v>
      </c>
      <c r="B305" t="s">
        <v>314</v>
      </c>
      <c r="C305" t="str">
        <f>"9788376560816"</f>
        <v>9788376560816</v>
      </c>
      <c r="D305" t="str">
        <f>"9788376560823"</f>
        <v>9788376560823</v>
      </c>
      <c r="E305" t="s">
        <v>73</v>
      </c>
      <c r="F305" s="1">
        <v>41698</v>
      </c>
    </row>
    <row r="306" spans="1:6" x14ac:dyDescent="0.25">
      <c r="A306">
        <v>1640872</v>
      </c>
      <c r="B306" t="s">
        <v>315</v>
      </c>
      <c r="C306" t="str">
        <f>"9780822355212"</f>
        <v>9780822355212</v>
      </c>
      <c r="D306" t="str">
        <f>"9780822377368"</f>
        <v>9780822377368</v>
      </c>
      <c r="E306" t="s">
        <v>174</v>
      </c>
      <c r="F306" s="1">
        <v>41712</v>
      </c>
    </row>
    <row r="307" spans="1:6" x14ac:dyDescent="0.25">
      <c r="A307">
        <v>1642656</v>
      </c>
      <c r="B307" t="s">
        <v>316</v>
      </c>
      <c r="C307" t="str">
        <f>"9783486705041"</f>
        <v>9783486705041</v>
      </c>
      <c r="D307" t="str">
        <f>"9783110345476"</f>
        <v>9783110345476</v>
      </c>
      <c r="E307" t="s">
        <v>73</v>
      </c>
      <c r="F307" s="1">
        <v>42076</v>
      </c>
    </row>
    <row r="308" spans="1:6" x14ac:dyDescent="0.25">
      <c r="A308">
        <v>1642701</v>
      </c>
      <c r="B308" t="s">
        <v>317</v>
      </c>
      <c r="C308" t="str">
        <f>"9783486778441"</f>
        <v>9783486778441</v>
      </c>
      <c r="D308" t="str">
        <f>"9783486859089"</f>
        <v>9783486859089</v>
      </c>
      <c r="E308" t="s">
        <v>73</v>
      </c>
      <c r="F308" s="1">
        <v>41988</v>
      </c>
    </row>
    <row r="309" spans="1:6" x14ac:dyDescent="0.25">
      <c r="A309">
        <v>1642715</v>
      </c>
      <c r="B309" t="s">
        <v>318</v>
      </c>
      <c r="C309" t="str">
        <f>"9783486781397"</f>
        <v>9783486781397</v>
      </c>
      <c r="D309" t="str">
        <f>"9783110345438"</f>
        <v>9783110345438</v>
      </c>
      <c r="E309" t="s">
        <v>73</v>
      </c>
      <c r="F309" s="1">
        <v>41960</v>
      </c>
    </row>
    <row r="310" spans="1:6" x14ac:dyDescent="0.25">
      <c r="A310">
        <v>1642718</v>
      </c>
      <c r="B310" t="s">
        <v>319</v>
      </c>
      <c r="C310" t="str">
        <f>"9783110353617"</f>
        <v>9783110353617</v>
      </c>
      <c r="D310" t="str">
        <f>"9783110353716"</f>
        <v>9783110353716</v>
      </c>
      <c r="E310" t="s">
        <v>73</v>
      </c>
      <c r="F310" s="1">
        <v>41870</v>
      </c>
    </row>
    <row r="311" spans="1:6" x14ac:dyDescent="0.25">
      <c r="A311">
        <v>1642761</v>
      </c>
      <c r="B311" t="s">
        <v>320</v>
      </c>
      <c r="C311" t="str">
        <f>"9783038216469"</f>
        <v>9783038216469</v>
      </c>
      <c r="D311" t="str">
        <f>"9783038216506"</f>
        <v>9783038216506</v>
      </c>
      <c r="E311" t="s">
        <v>73</v>
      </c>
      <c r="F311" s="1">
        <v>41969</v>
      </c>
    </row>
    <row r="312" spans="1:6" x14ac:dyDescent="0.25">
      <c r="A312">
        <v>1642781</v>
      </c>
      <c r="B312" t="s">
        <v>321</v>
      </c>
      <c r="C312" t="str">
        <f>"9783110347074"</f>
        <v>9783110347074</v>
      </c>
      <c r="D312" t="str">
        <f>"9783110348750"</f>
        <v>9783110348750</v>
      </c>
      <c r="E312" t="s">
        <v>73</v>
      </c>
      <c r="F312" s="1">
        <v>41939</v>
      </c>
    </row>
    <row r="313" spans="1:6" x14ac:dyDescent="0.25">
      <c r="A313">
        <v>1647711</v>
      </c>
      <c r="B313" t="s">
        <v>322</v>
      </c>
      <c r="C313" t="str">
        <f>"9780822356400"</f>
        <v>9780822356400</v>
      </c>
      <c r="D313" t="str">
        <f>"9780822376811"</f>
        <v>9780822376811</v>
      </c>
      <c r="E313" t="s">
        <v>174</v>
      </c>
      <c r="F313" s="1">
        <v>41719</v>
      </c>
    </row>
    <row r="314" spans="1:6" x14ac:dyDescent="0.25">
      <c r="A314">
        <v>1652352</v>
      </c>
      <c r="B314" t="s">
        <v>323</v>
      </c>
      <c r="C314" t="str">
        <f>"9783110367652"</f>
        <v>9783110367652</v>
      </c>
      <c r="D314" t="str">
        <f>"9783110367669"</f>
        <v>9783110367669</v>
      </c>
      <c r="E314" t="s">
        <v>73</v>
      </c>
      <c r="F314" s="1">
        <v>41793</v>
      </c>
    </row>
    <row r="315" spans="1:6" x14ac:dyDescent="0.25">
      <c r="A315">
        <v>1652397</v>
      </c>
      <c r="B315" t="s">
        <v>324</v>
      </c>
      <c r="C315" t="str">
        <f>"9783110362114"</f>
        <v>9783110362114</v>
      </c>
      <c r="D315" t="str">
        <f>"9783110278149"</f>
        <v>9783110278149</v>
      </c>
      <c r="E315" t="s">
        <v>73</v>
      </c>
      <c r="F315" s="1">
        <v>41939</v>
      </c>
    </row>
    <row r="316" spans="1:6" x14ac:dyDescent="0.25">
      <c r="A316">
        <v>1652464</v>
      </c>
      <c r="B316" t="s">
        <v>325</v>
      </c>
      <c r="C316" t="str">
        <f>"9783110341331"</f>
        <v>9783110341331</v>
      </c>
      <c r="D316" t="str">
        <f>"9783110369267"</f>
        <v>9783110369267</v>
      </c>
      <c r="E316" t="s">
        <v>53</v>
      </c>
      <c r="F316" s="1">
        <v>41757</v>
      </c>
    </row>
    <row r="317" spans="1:6" x14ac:dyDescent="0.25">
      <c r="A317">
        <v>1663091</v>
      </c>
      <c r="B317" t="s">
        <v>326</v>
      </c>
      <c r="C317" t="str">
        <f>"9783110370102"</f>
        <v>9783110370102</v>
      </c>
      <c r="D317" t="str">
        <f>"9783110370119"</f>
        <v>9783110370119</v>
      </c>
      <c r="E317" t="s">
        <v>73</v>
      </c>
      <c r="F317" s="1">
        <v>41814</v>
      </c>
    </row>
    <row r="318" spans="1:6" x14ac:dyDescent="0.25">
      <c r="A318">
        <v>1663116</v>
      </c>
      <c r="B318" t="s">
        <v>327</v>
      </c>
      <c r="C318" t="str">
        <f>"9783110356977"</f>
        <v>9783110356977</v>
      </c>
      <c r="D318" t="str">
        <f>"9783110363227"</f>
        <v>9783110363227</v>
      </c>
      <c r="E318" t="s">
        <v>73</v>
      </c>
      <c r="F318" s="1">
        <v>41925</v>
      </c>
    </row>
    <row r="319" spans="1:6" x14ac:dyDescent="0.25">
      <c r="A319">
        <v>1663129</v>
      </c>
      <c r="B319" t="s">
        <v>328</v>
      </c>
      <c r="C319" t="str">
        <f>"9783486778410"</f>
        <v>9783486778410</v>
      </c>
      <c r="D319" t="str">
        <f>"9783110348736"</f>
        <v>9783110348736</v>
      </c>
      <c r="E319" t="s">
        <v>73</v>
      </c>
      <c r="F319" s="1">
        <v>41969</v>
      </c>
    </row>
    <row r="320" spans="1:6" x14ac:dyDescent="0.25">
      <c r="A320">
        <v>1663210</v>
      </c>
      <c r="B320" t="s">
        <v>329</v>
      </c>
      <c r="C320" t="str">
        <f>"9783110370300"</f>
        <v>9783110370300</v>
      </c>
      <c r="D320" t="str">
        <f>"9783110370317"</f>
        <v>9783110370317</v>
      </c>
      <c r="E320" t="s">
        <v>73</v>
      </c>
      <c r="F320" s="1">
        <v>41824</v>
      </c>
    </row>
    <row r="321" spans="1:6" x14ac:dyDescent="0.25">
      <c r="A321">
        <v>1680085</v>
      </c>
      <c r="B321" t="s">
        <v>330</v>
      </c>
      <c r="C321" t="str">
        <f>"9780813565309"</f>
        <v>9780813565309</v>
      </c>
      <c r="D321" t="str">
        <f>"9780813565392"</f>
        <v>9780813565392</v>
      </c>
      <c r="E321" t="s">
        <v>51</v>
      </c>
      <c r="F321" s="1">
        <v>41831</v>
      </c>
    </row>
    <row r="322" spans="1:6" x14ac:dyDescent="0.25">
      <c r="A322">
        <v>1684537</v>
      </c>
      <c r="B322" t="s">
        <v>331</v>
      </c>
      <c r="C322" t="str">
        <f>"9780822356301"</f>
        <v>9780822356301</v>
      </c>
      <c r="D322" t="str">
        <f>"9780822376842"</f>
        <v>9780822376842</v>
      </c>
      <c r="E322" t="s">
        <v>174</v>
      </c>
      <c r="F322" s="1">
        <v>41754</v>
      </c>
    </row>
    <row r="323" spans="1:6" x14ac:dyDescent="0.25">
      <c r="A323">
        <v>1685351</v>
      </c>
      <c r="B323" t="s">
        <v>332</v>
      </c>
      <c r="C323" t="str">
        <f>"9783110372700"</f>
        <v>9783110372700</v>
      </c>
      <c r="D323" t="str">
        <f>"9783110372717"</f>
        <v>9783110372717</v>
      </c>
      <c r="E323" t="s">
        <v>73</v>
      </c>
      <c r="F323" s="1">
        <v>41878</v>
      </c>
    </row>
    <row r="324" spans="1:6" x14ac:dyDescent="0.25">
      <c r="A324">
        <v>1691223</v>
      </c>
      <c r="B324" t="s">
        <v>333</v>
      </c>
      <c r="C324" t="str">
        <f>"9780822355496"</f>
        <v>9780822355496</v>
      </c>
      <c r="D324" t="str">
        <f>"9780822377238"</f>
        <v>9780822377238</v>
      </c>
      <c r="E324" t="s">
        <v>174</v>
      </c>
      <c r="F324" s="1">
        <v>41677</v>
      </c>
    </row>
    <row r="325" spans="1:6" x14ac:dyDescent="0.25">
      <c r="A325">
        <v>1692429</v>
      </c>
      <c r="B325" t="s">
        <v>334</v>
      </c>
      <c r="C325" t="str">
        <f>"9783110346022"</f>
        <v>9783110346022</v>
      </c>
      <c r="D325" t="str">
        <f>"9783110347227"</f>
        <v>9783110347227</v>
      </c>
      <c r="E325" t="s">
        <v>73</v>
      </c>
      <c r="F325" s="1">
        <v>41925</v>
      </c>
    </row>
    <row r="326" spans="1:6" x14ac:dyDescent="0.25">
      <c r="A326">
        <v>1692473</v>
      </c>
      <c r="B326" t="s">
        <v>335</v>
      </c>
      <c r="C326" t="str">
        <f>"9783110346466"</f>
        <v>9783110346466</v>
      </c>
      <c r="D326" t="str">
        <f>"9783110346473"</f>
        <v>9783110346473</v>
      </c>
      <c r="E326" t="s">
        <v>53</v>
      </c>
      <c r="F326" s="1">
        <v>42118</v>
      </c>
    </row>
    <row r="327" spans="1:6" x14ac:dyDescent="0.25">
      <c r="A327">
        <v>1692483</v>
      </c>
      <c r="B327" t="s">
        <v>336</v>
      </c>
      <c r="C327" t="str">
        <f>"9783110372649"</f>
        <v>9783110372649</v>
      </c>
      <c r="D327" t="str">
        <f>"9783110372656"</f>
        <v>9783110372656</v>
      </c>
      <c r="E327" t="s">
        <v>73</v>
      </c>
      <c r="F327" s="1">
        <v>41920</v>
      </c>
    </row>
    <row r="328" spans="1:6" x14ac:dyDescent="0.25">
      <c r="A328">
        <v>1692485</v>
      </c>
      <c r="B328" t="s">
        <v>337</v>
      </c>
      <c r="C328" t="str">
        <f>"9783110372328"</f>
        <v>9783110372328</v>
      </c>
      <c r="D328" t="str">
        <f>"9783110372335"</f>
        <v>9783110372335</v>
      </c>
      <c r="E328" t="s">
        <v>73</v>
      </c>
      <c r="F328" s="1">
        <v>41824</v>
      </c>
    </row>
    <row r="329" spans="1:6" x14ac:dyDescent="0.25">
      <c r="A329">
        <v>1713021</v>
      </c>
      <c r="B329" t="s">
        <v>338</v>
      </c>
      <c r="C329" t="str">
        <f>"9783110246117"</f>
        <v>9783110246117</v>
      </c>
      <c r="D329" t="str">
        <f>"9783110246124"</f>
        <v>9783110246124</v>
      </c>
      <c r="E329" t="s">
        <v>53</v>
      </c>
      <c r="F329" s="1">
        <v>41971</v>
      </c>
    </row>
    <row r="330" spans="1:6" x14ac:dyDescent="0.25">
      <c r="A330">
        <v>1713062</v>
      </c>
      <c r="B330" t="s">
        <v>339</v>
      </c>
      <c r="C330" t="str">
        <f>"9783110371239"</f>
        <v>9783110371239</v>
      </c>
      <c r="D330" t="str">
        <f>"9783110371222"</f>
        <v>9783110371222</v>
      </c>
      <c r="E330" t="s">
        <v>53</v>
      </c>
      <c r="F330" s="1">
        <v>42033</v>
      </c>
    </row>
    <row r="331" spans="1:6" x14ac:dyDescent="0.25">
      <c r="A331">
        <v>1727128</v>
      </c>
      <c r="B331" t="s">
        <v>340</v>
      </c>
      <c r="C331" t="str">
        <f>"9783110401448"</f>
        <v>9783110401448</v>
      </c>
      <c r="D331" t="str">
        <f>"9783110401455"</f>
        <v>9783110401455</v>
      </c>
      <c r="E331" t="s">
        <v>73</v>
      </c>
      <c r="F331" s="1">
        <v>41848</v>
      </c>
    </row>
    <row r="332" spans="1:6" x14ac:dyDescent="0.25">
      <c r="A332">
        <v>1727151</v>
      </c>
      <c r="B332" t="s">
        <v>341</v>
      </c>
      <c r="C332" t="str">
        <f>"9783110377163"</f>
        <v>9783110377163</v>
      </c>
      <c r="D332" t="str">
        <f>"9783110400724"</f>
        <v>9783110400724</v>
      </c>
      <c r="E332" t="s">
        <v>73</v>
      </c>
      <c r="F332" s="1">
        <v>41969</v>
      </c>
    </row>
    <row r="333" spans="1:6" x14ac:dyDescent="0.25">
      <c r="A333">
        <v>1727155</v>
      </c>
      <c r="B333" t="s">
        <v>342</v>
      </c>
      <c r="C333" t="str">
        <f>"9783110371307"</f>
        <v>9783110371307</v>
      </c>
      <c r="D333" t="str">
        <f>"9783110371345"</f>
        <v>9783110371345</v>
      </c>
      <c r="E333" t="s">
        <v>53</v>
      </c>
      <c r="F333" s="1">
        <v>41969</v>
      </c>
    </row>
    <row r="334" spans="1:6" x14ac:dyDescent="0.25">
      <c r="A334">
        <v>1727173</v>
      </c>
      <c r="B334" t="s">
        <v>343</v>
      </c>
      <c r="C334" t="str">
        <f>"9783110371246"</f>
        <v>9783110371246</v>
      </c>
      <c r="D334" t="str">
        <f>"9783110371277"</f>
        <v>9783110371277</v>
      </c>
      <c r="E334" t="s">
        <v>53</v>
      </c>
      <c r="F334" s="1">
        <v>41969</v>
      </c>
    </row>
    <row r="335" spans="1:6" x14ac:dyDescent="0.25">
      <c r="A335">
        <v>1727238</v>
      </c>
      <c r="B335" t="s">
        <v>344</v>
      </c>
      <c r="C335" t="str">
        <f>"9783110353044"</f>
        <v>9783110353044</v>
      </c>
      <c r="D335" t="str">
        <f>"9783110353587"</f>
        <v>9783110353587</v>
      </c>
      <c r="E335" t="s">
        <v>53</v>
      </c>
      <c r="F335" s="1">
        <v>41715</v>
      </c>
    </row>
    <row r="336" spans="1:6" x14ac:dyDescent="0.25">
      <c r="A336">
        <v>1744549</v>
      </c>
      <c r="B336" t="s">
        <v>345</v>
      </c>
      <c r="C336" t="str">
        <f>"9783110402483"</f>
        <v>9783110402483</v>
      </c>
      <c r="D336" t="str">
        <f>"9783110402490"</f>
        <v>9783110402490</v>
      </c>
      <c r="E336" t="s">
        <v>73</v>
      </c>
      <c r="F336" s="1">
        <v>41920</v>
      </c>
    </row>
    <row r="337" spans="1:6" x14ac:dyDescent="0.25">
      <c r="A337">
        <v>1744550</v>
      </c>
      <c r="B337" t="s">
        <v>346</v>
      </c>
      <c r="C337" t="str">
        <f>"9783110370140"</f>
        <v>9783110370140</v>
      </c>
      <c r="D337" t="str">
        <f>"9783110370188"</f>
        <v>9783110370188</v>
      </c>
      <c r="E337" t="s">
        <v>53</v>
      </c>
      <c r="F337" s="1">
        <v>41878</v>
      </c>
    </row>
    <row r="338" spans="1:6" x14ac:dyDescent="0.25">
      <c r="A338">
        <v>1744557</v>
      </c>
      <c r="B338" t="s">
        <v>347</v>
      </c>
      <c r="C338" t="str">
        <f>"9783110401714"</f>
        <v>9783110401714</v>
      </c>
      <c r="D338" t="str">
        <f>"9783110401721"</f>
        <v>9783110401721</v>
      </c>
      <c r="E338" t="s">
        <v>73</v>
      </c>
      <c r="F338" s="1">
        <v>41920</v>
      </c>
    </row>
    <row r="339" spans="1:6" x14ac:dyDescent="0.25">
      <c r="A339">
        <v>1744558</v>
      </c>
      <c r="B339" t="s">
        <v>348</v>
      </c>
      <c r="C339" t="str">
        <f>"9783110401691"</f>
        <v>9783110401691</v>
      </c>
      <c r="D339" t="str">
        <f>"9783110401707"</f>
        <v>9783110401707</v>
      </c>
      <c r="E339" t="s">
        <v>73</v>
      </c>
      <c r="F339" s="1">
        <v>41887</v>
      </c>
    </row>
    <row r="340" spans="1:6" x14ac:dyDescent="0.25">
      <c r="A340">
        <v>1744595</v>
      </c>
      <c r="B340" t="s">
        <v>349</v>
      </c>
      <c r="C340" t="str">
        <f>"9783110401738"</f>
        <v>9783110401738</v>
      </c>
      <c r="D340" t="str">
        <f>"9783110401745"</f>
        <v>9783110401745</v>
      </c>
      <c r="E340" t="s">
        <v>73</v>
      </c>
      <c r="F340" s="1">
        <v>41920</v>
      </c>
    </row>
    <row r="341" spans="1:6" x14ac:dyDescent="0.25">
      <c r="A341">
        <v>1744596</v>
      </c>
      <c r="B341" t="s">
        <v>350</v>
      </c>
      <c r="C341" t="str">
        <f>"9783110401493"</f>
        <v>9783110401493</v>
      </c>
      <c r="D341" t="str">
        <f>"9783110401509"</f>
        <v>9783110401509</v>
      </c>
      <c r="E341" t="s">
        <v>73</v>
      </c>
      <c r="F341" s="1">
        <v>42023</v>
      </c>
    </row>
    <row r="342" spans="1:6" x14ac:dyDescent="0.25">
      <c r="A342">
        <v>1759922</v>
      </c>
      <c r="B342" t="s">
        <v>351</v>
      </c>
      <c r="C342" t="str">
        <f>"9783110371369"</f>
        <v>9783110371369</v>
      </c>
      <c r="D342" t="str">
        <f>"9783110371413"</f>
        <v>9783110371413</v>
      </c>
      <c r="E342" t="s">
        <v>53</v>
      </c>
      <c r="F342" s="1">
        <v>42033</v>
      </c>
    </row>
    <row r="343" spans="1:6" x14ac:dyDescent="0.25">
      <c r="A343">
        <v>1767601</v>
      </c>
      <c r="B343" t="s">
        <v>352</v>
      </c>
      <c r="C343" t="str">
        <f>"9783110373462"</f>
        <v>9783110373462</v>
      </c>
      <c r="D343" t="str">
        <f>"9783110367430"</f>
        <v>9783110367430</v>
      </c>
      <c r="E343" t="s">
        <v>53</v>
      </c>
      <c r="F343" s="1">
        <v>42061</v>
      </c>
    </row>
    <row r="344" spans="1:6" x14ac:dyDescent="0.25">
      <c r="A344">
        <v>1773710</v>
      </c>
      <c r="B344" t="s">
        <v>353</v>
      </c>
      <c r="C344" t="str">
        <f>"9789089647122"</f>
        <v>9789089647122</v>
      </c>
      <c r="D344" t="str">
        <f>"9789048524365"</f>
        <v>9789048524365</v>
      </c>
      <c r="E344" t="s">
        <v>59</v>
      </c>
      <c r="F344" s="1">
        <v>41772</v>
      </c>
    </row>
    <row r="345" spans="1:6" x14ac:dyDescent="0.25">
      <c r="A345">
        <v>1773720</v>
      </c>
      <c r="B345" t="s">
        <v>354</v>
      </c>
      <c r="C345" t="str">
        <f>"9789089644718"</f>
        <v>9789089644718</v>
      </c>
      <c r="D345" t="str">
        <f>"9789048517763"</f>
        <v>9789048517763</v>
      </c>
      <c r="E345" t="s">
        <v>59</v>
      </c>
      <c r="F345" s="1">
        <v>41317</v>
      </c>
    </row>
    <row r="346" spans="1:6" x14ac:dyDescent="0.25">
      <c r="A346">
        <v>1773725</v>
      </c>
      <c r="B346" t="s">
        <v>355</v>
      </c>
      <c r="C346" t="str">
        <f>"9789089645517"</f>
        <v>9789089645517</v>
      </c>
      <c r="D346" t="str">
        <f>"9789048518425"</f>
        <v>9789048518425</v>
      </c>
      <c r="E346" t="s">
        <v>59</v>
      </c>
      <c r="F346" s="1">
        <v>41407</v>
      </c>
    </row>
    <row r="347" spans="1:6" x14ac:dyDescent="0.25">
      <c r="A347">
        <v>1773754</v>
      </c>
      <c r="B347" t="s">
        <v>356</v>
      </c>
      <c r="C347" t="str">
        <f>"9789089645593"</f>
        <v>9789089645593</v>
      </c>
      <c r="D347" t="str">
        <f>"9789048519552"</f>
        <v>9789048519552</v>
      </c>
      <c r="E347" t="s">
        <v>59</v>
      </c>
      <c r="F347" s="1">
        <v>41553</v>
      </c>
    </row>
    <row r="348" spans="1:6" x14ac:dyDescent="0.25">
      <c r="A348">
        <v>1773761</v>
      </c>
      <c r="B348" t="s">
        <v>357</v>
      </c>
      <c r="C348" t="str">
        <f>"9789089642912"</f>
        <v>9789089642912</v>
      </c>
      <c r="D348" t="str">
        <f>"9789048513833"</f>
        <v>9789048513833</v>
      </c>
      <c r="E348" t="s">
        <v>59</v>
      </c>
      <c r="F348" s="1">
        <v>41302</v>
      </c>
    </row>
    <row r="349" spans="1:6" x14ac:dyDescent="0.25">
      <c r="A349">
        <v>1773777</v>
      </c>
      <c r="B349" t="s">
        <v>358</v>
      </c>
      <c r="C349" t="str">
        <f>"9789089646514"</f>
        <v>9789089646514</v>
      </c>
      <c r="D349" t="str">
        <f>"9789048523184"</f>
        <v>9789048523184</v>
      </c>
      <c r="E349" t="s">
        <v>59</v>
      </c>
      <c r="F349" s="1">
        <v>41927</v>
      </c>
    </row>
    <row r="350" spans="1:6" x14ac:dyDescent="0.25">
      <c r="A350">
        <v>1773778</v>
      </c>
      <c r="B350" t="s">
        <v>359</v>
      </c>
      <c r="C350" t="str">
        <f>"9789089646507"</f>
        <v>9789089646507</v>
      </c>
      <c r="D350" t="str">
        <f>"9789048523177"</f>
        <v>9789048523177</v>
      </c>
      <c r="E350" t="s">
        <v>59</v>
      </c>
      <c r="F350" s="1">
        <v>41855</v>
      </c>
    </row>
    <row r="351" spans="1:6" x14ac:dyDescent="0.25">
      <c r="A351">
        <v>1773780</v>
      </c>
      <c r="B351" t="s">
        <v>360</v>
      </c>
      <c r="C351" t="str">
        <f>"9789089646491"</f>
        <v>9789089646491</v>
      </c>
      <c r="D351" t="str">
        <f>"9789048523160"</f>
        <v>9789048523160</v>
      </c>
      <c r="E351" t="s">
        <v>59</v>
      </c>
      <c r="F351" s="1">
        <v>41883</v>
      </c>
    </row>
    <row r="352" spans="1:6" x14ac:dyDescent="0.25">
      <c r="A352">
        <v>1782253</v>
      </c>
      <c r="B352" t="s">
        <v>361</v>
      </c>
      <c r="C352" t="str">
        <f>"9780822357643"</f>
        <v>9780822357643</v>
      </c>
      <c r="D352" t="str">
        <f>"9780822376132"</f>
        <v>9780822376132</v>
      </c>
      <c r="E352" t="s">
        <v>174</v>
      </c>
      <c r="F352" s="1">
        <v>41915</v>
      </c>
    </row>
    <row r="353" spans="1:6" x14ac:dyDescent="0.25">
      <c r="A353">
        <v>1783874</v>
      </c>
      <c r="B353" t="s">
        <v>362</v>
      </c>
      <c r="C353" t="str">
        <f>"9783899497571"</f>
        <v>9783899497571</v>
      </c>
      <c r="D353" t="str">
        <f>"9783110402520"</f>
        <v>9783110402520</v>
      </c>
      <c r="E353" t="s">
        <v>53</v>
      </c>
      <c r="F353" s="1">
        <v>40317</v>
      </c>
    </row>
    <row r="354" spans="1:6" x14ac:dyDescent="0.25">
      <c r="A354">
        <v>1787135</v>
      </c>
      <c r="B354" t="s">
        <v>363</v>
      </c>
      <c r="C354" t="str">
        <f>"9783110373806"</f>
        <v>9783110373806</v>
      </c>
      <c r="D354" t="str">
        <f>"9783110399370"</f>
        <v>9783110399370</v>
      </c>
      <c r="E354" t="s">
        <v>53</v>
      </c>
      <c r="F354" s="1">
        <v>42118</v>
      </c>
    </row>
    <row r="355" spans="1:6" x14ac:dyDescent="0.25">
      <c r="A355">
        <v>1787139</v>
      </c>
      <c r="B355" t="s">
        <v>364</v>
      </c>
      <c r="C355" t="str">
        <f>"9783110411300"</f>
        <v>9783110411300</v>
      </c>
      <c r="D355" t="str">
        <f>"9783110411317"</f>
        <v>9783110411317</v>
      </c>
      <c r="E355" t="s">
        <v>73</v>
      </c>
      <c r="F355" s="1">
        <v>41974</v>
      </c>
    </row>
    <row r="356" spans="1:6" x14ac:dyDescent="0.25">
      <c r="A356">
        <v>1787145</v>
      </c>
      <c r="B356" t="s">
        <v>365</v>
      </c>
      <c r="C356" t="str">
        <f>"9788376560168"</f>
        <v>9788376560168</v>
      </c>
      <c r="D356" t="str">
        <f>"9788376560175"</f>
        <v>9788376560175</v>
      </c>
      <c r="E356" t="s">
        <v>73</v>
      </c>
      <c r="F356" s="1">
        <v>41505</v>
      </c>
    </row>
    <row r="357" spans="1:6" x14ac:dyDescent="0.25">
      <c r="A357">
        <v>1787150</v>
      </c>
      <c r="B357" t="s">
        <v>366</v>
      </c>
      <c r="C357" t="str">
        <f>"9783110411324"</f>
        <v>9783110411324</v>
      </c>
      <c r="D357" t="str">
        <f>"9783110411331"</f>
        <v>9783110411331</v>
      </c>
      <c r="E357" t="s">
        <v>73</v>
      </c>
      <c r="F357" s="1">
        <v>41988</v>
      </c>
    </row>
    <row r="358" spans="1:6" x14ac:dyDescent="0.25">
      <c r="A358">
        <v>1787195</v>
      </c>
      <c r="B358" t="s">
        <v>367</v>
      </c>
      <c r="C358" t="str">
        <f>"9783110400434"</f>
        <v>9783110400434</v>
      </c>
      <c r="D358" t="str">
        <f>"9783110404951"</f>
        <v>9783110404951</v>
      </c>
      <c r="E358" t="s">
        <v>53</v>
      </c>
      <c r="F358" s="1">
        <v>42061</v>
      </c>
    </row>
    <row r="359" spans="1:6" x14ac:dyDescent="0.25">
      <c r="A359">
        <v>1787209</v>
      </c>
      <c r="B359" t="s">
        <v>368</v>
      </c>
      <c r="C359" t="str">
        <f>"9783110410150"</f>
        <v>9783110410150</v>
      </c>
      <c r="D359" t="str">
        <f>"9783110410167"</f>
        <v>9783110410167</v>
      </c>
      <c r="E359" t="s">
        <v>73</v>
      </c>
      <c r="F359" s="1">
        <v>42143</v>
      </c>
    </row>
    <row r="360" spans="1:6" x14ac:dyDescent="0.25">
      <c r="A360">
        <v>1787212</v>
      </c>
      <c r="B360" t="s">
        <v>369</v>
      </c>
      <c r="C360" t="str">
        <f>"9783110410198"</f>
        <v>9783110410198</v>
      </c>
      <c r="D360" t="str">
        <f>"9783110410204"</f>
        <v>9783110410204</v>
      </c>
      <c r="E360" t="s">
        <v>73</v>
      </c>
      <c r="F360" s="1">
        <v>41974</v>
      </c>
    </row>
    <row r="361" spans="1:6" x14ac:dyDescent="0.25">
      <c r="A361">
        <v>1787226</v>
      </c>
      <c r="B361" t="s">
        <v>370</v>
      </c>
      <c r="C361" t="str">
        <f>"9783110401967"</f>
        <v>9783110401967</v>
      </c>
      <c r="D361" t="str">
        <f>"9783110402100"</f>
        <v>9783110402100</v>
      </c>
      <c r="E361" t="s">
        <v>73</v>
      </c>
      <c r="F361" s="1">
        <v>41974</v>
      </c>
    </row>
    <row r="362" spans="1:6" x14ac:dyDescent="0.25">
      <c r="A362">
        <v>1787230</v>
      </c>
      <c r="B362" t="s">
        <v>371</v>
      </c>
      <c r="C362" t="str">
        <f>"9783110409451"</f>
        <v>9783110409451</v>
      </c>
      <c r="D362" t="str">
        <f>"9783110409475"</f>
        <v>9783110409475</v>
      </c>
      <c r="E362" t="s">
        <v>73</v>
      </c>
      <c r="F362" s="1">
        <v>41988</v>
      </c>
    </row>
    <row r="363" spans="1:6" x14ac:dyDescent="0.25">
      <c r="A363">
        <v>1787235</v>
      </c>
      <c r="B363" t="s">
        <v>372</v>
      </c>
      <c r="C363" t="str">
        <f>"9783110409673"</f>
        <v>9783110409673</v>
      </c>
      <c r="D363" t="str">
        <f>"9783110409697"</f>
        <v>9783110409697</v>
      </c>
      <c r="E363" t="s">
        <v>73</v>
      </c>
      <c r="F363" s="1">
        <v>41920</v>
      </c>
    </row>
    <row r="364" spans="1:6" x14ac:dyDescent="0.25">
      <c r="A364">
        <v>1787238</v>
      </c>
      <c r="B364" t="s">
        <v>373</v>
      </c>
      <c r="C364" t="str">
        <f>"9783110410174"</f>
        <v>9783110410174</v>
      </c>
      <c r="D364" t="str">
        <f>"9783110410181"</f>
        <v>9783110410181</v>
      </c>
      <c r="E364" t="s">
        <v>73</v>
      </c>
      <c r="F364" s="1">
        <v>41974</v>
      </c>
    </row>
    <row r="365" spans="1:6" x14ac:dyDescent="0.25">
      <c r="A365">
        <v>1787242</v>
      </c>
      <c r="B365" t="s">
        <v>374</v>
      </c>
      <c r="C365" t="str">
        <f>"9783110410235"</f>
        <v>9783110410235</v>
      </c>
      <c r="D365" t="str">
        <f>"9783110410242"</f>
        <v>9783110410242</v>
      </c>
      <c r="E365" t="s">
        <v>73</v>
      </c>
      <c r="F365" s="1">
        <v>42089</v>
      </c>
    </row>
    <row r="366" spans="1:6" x14ac:dyDescent="0.25">
      <c r="A366">
        <v>1789533</v>
      </c>
      <c r="B366" t="s">
        <v>375</v>
      </c>
      <c r="C366" t="str">
        <f>"9783110410211"</f>
        <v>9783110410211</v>
      </c>
      <c r="D366" t="str">
        <f>"9783110410228"</f>
        <v>9783110410228</v>
      </c>
      <c r="E366" t="s">
        <v>73</v>
      </c>
      <c r="F366" s="1">
        <v>41988</v>
      </c>
    </row>
    <row r="367" spans="1:6" x14ac:dyDescent="0.25">
      <c r="A367">
        <v>1791733</v>
      </c>
      <c r="B367" t="s">
        <v>376</v>
      </c>
      <c r="C367" t="str">
        <f>"9789089646439"</f>
        <v>9789089646439</v>
      </c>
      <c r="D367" t="str">
        <f>"9789048523085"</f>
        <v>9789048523085</v>
      </c>
      <c r="E367" t="s">
        <v>59</v>
      </c>
      <c r="F367" s="1">
        <v>41883</v>
      </c>
    </row>
    <row r="368" spans="1:6" x14ac:dyDescent="0.25">
      <c r="A368">
        <v>1791735</v>
      </c>
      <c r="B368" t="s">
        <v>377</v>
      </c>
      <c r="C368" t="str">
        <f>"9789089645166"</f>
        <v>9789089645166</v>
      </c>
      <c r="D368" t="str">
        <f>"9789048518449"</f>
        <v>9789048518449</v>
      </c>
      <c r="E368" t="s">
        <v>59</v>
      </c>
      <c r="F368" s="1">
        <v>41894</v>
      </c>
    </row>
    <row r="369" spans="1:6" x14ac:dyDescent="0.25">
      <c r="A369">
        <v>1809928</v>
      </c>
      <c r="B369" t="s">
        <v>378</v>
      </c>
      <c r="C369" t="str">
        <f>"9783110412611"</f>
        <v>9783110412611</v>
      </c>
      <c r="D369" t="str">
        <f>"9783110412628"</f>
        <v>9783110412628</v>
      </c>
      <c r="E369" t="s">
        <v>73</v>
      </c>
      <c r="F369" s="1">
        <v>42023</v>
      </c>
    </row>
    <row r="370" spans="1:6" x14ac:dyDescent="0.25">
      <c r="A370">
        <v>1809930</v>
      </c>
      <c r="B370" t="s">
        <v>379</v>
      </c>
      <c r="C370" t="str">
        <f>"9783110412765"</f>
        <v>9783110412765</v>
      </c>
      <c r="D370" t="str">
        <f>"9783110412772"</f>
        <v>9783110412772</v>
      </c>
      <c r="E370" t="s">
        <v>73</v>
      </c>
      <c r="F370" s="1">
        <v>42003</v>
      </c>
    </row>
    <row r="371" spans="1:6" x14ac:dyDescent="0.25">
      <c r="A371">
        <v>1820380</v>
      </c>
      <c r="B371" t="s">
        <v>380</v>
      </c>
      <c r="C371" t="str">
        <f>"9783110405835"</f>
        <v>9783110405835</v>
      </c>
      <c r="D371" t="str">
        <f>"9783110406597"</f>
        <v>9783110406597</v>
      </c>
      <c r="E371" t="s">
        <v>73</v>
      </c>
      <c r="F371" s="1">
        <v>41960</v>
      </c>
    </row>
    <row r="372" spans="1:6" x14ac:dyDescent="0.25">
      <c r="A372">
        <v>1820394</v>
      </c>
      <c r="B372" t="s">
        <v>381</v>
      </c>
      <c r="C372" t="str">
        <f>"9783110374988"</f>
        <v>9783110374988</v>
      </c>
      <c r="D372" t="str">
        <f>"9783110369120"</f>
        <v>9783110369120</v>
      </c>
      <c r="E372" t="s">
        <v>53</v>
      </c>
      <c r="F372" s="1">
        <v>42061</v>
      </c>
    </row>
    <row r="373" spans="1:6" x14ac:dyDescent="0.25">
      <c r="A373">
        <v>1826875</v>
      </c>
      <c r="B373" t="s">
        <v>382</v>
      </c>
      <c r="C373" t="str">
        <f>"9789004281066"</f>
        <v>9789004281066</v>
      </c>
      <c r="D373" t="str">
        <f>"9789004281073"</f>
        <v>9789004281073</v>
      </c>
      <c r="E373" t="s">
        <v>246</v>
      </c>
      <c r="F373" s="1">
        <v>41940</v>
      </c>
    </row>
    <row r="374" spans="1:6" x14ac:dyDescent="0.25">
      <c r="A374">
        <v>1865296</v>
      </c>
      <c r="B374" t="s">
        <v>383</v>
      </c>
      <c r="C374" t="str">
        <f>"9780813564692"</f>
        <v>9780813564692</v>
      </c>
      <c r="D374" t="str">
        <f>"9780813564708"</f>
        <v>9780813564708</v>
      </c>
      <c r="E374" t="s">
        <v>51</v>
      </c>
      <c r="F374" s="1">
        <v>41982</v>
      </c>
    </row>
    <row r="375" spans="1:6" x14ac:dyDescent="0.25">
      <c r="A375">
        <v>1865424</v>
      </c>
      <c r="B375" t="s">
        <v>384</v>
      </c>
      <c r="C375" t="str">
        <f>"9780822357711"</f>
        <v>9780822357711</v>
      </c>
      <c r="D375" t="str">
        <f>"9780822376064"</f>
        <v>9780822376064</v>
      </c>
      <c r="E375" t="s">
        <v>174</v>
      </c>
      <c r="F375" s="1">
        <v>41978</v>
      </c>
    </row>
    <row r="376" spans="1:6" x14ac:dyDescent="0.25">
      <c r="A376">
        <v>1866480</v>
      </c>
      <c r="B376" t="s">
        <v>385</v>
      </c>
      <c r="C376" t="str">
        <f>"9780822357650"</f>
        <v>9780822357650</v>
      </c>
      <c r="D376" t="str">
        <f>"9780822376125"</f>
        <v>9780822376125</v>
      </c>
      <c r="E376" t="s">
        <v>174</v>
      </c>
      <c r="F376" s="1">
        <v>41992</v>
      </c>
    </row>
    <row r="377" spans="1:6" x14ac:dyDescent="0.25">
      <c r="A377">
        <v>1867184</v>
      </c>
      <c r="B377" t="s">
        <v>386</v>
      </c>
      <c r="C377" t="str">
        <f>"9783110417586"</f>
        <v>9783110417586</v>
      </c>
      <c r="D377" t="str">
        <f>"9783110417593"</f>
        <v>9783110417593</v>
      </c>
      <c r="E377" t="s">
        <v>73</v>
      </c>
      <c r="F377" s="1">
        <v>41974</v>
      </c>
    </row>
    <row r="378" spans="1:6" x14ac:dyDescent="0.25">
      <c r="A378">
        <v>1867301</v>
      </c>
      <c r="B378" t="s">
        <v>387</v>
      </c>
      <c r="C378" t="str">
        <f>"9783110420067"</f>
        <v>9783110420067</v>
      </c>
      <c r="D378" t="str">
        <f>"9783110422504"</f>
        <v>9783110422504</v>
      </c>
      <c r="E378" t="s">
        <v>73</v>
      </c>
      <c r="F378" s="1">
        <v>42004</v>
      </c>
    </row>
    <row r="379" spans="1:6" x14ac:dyDescent="0.25">
      <c r="A379">
        <v>1867338</v>
      </c>
      <c r="B379" t="s">
        <v>388</v>
      </c>
      <c r="C379" t="str">
        <f>"9783899495355"</f>
        <v>9783899495355</v>
      </c>
      <c r="D379" t="str">
        <f>"9783110977899"</f>
        <v>9783110977899</v>
      </c>
      <c r="E379" t="s">
        <v>53</v>
      </c>
      <c r="F379" s="1">
        <v>39932</v>
      </c>
    </row>
    <row r="380" spans="1:6" x14ac:dyDescent="0.25">
      <c r="A380">
        <v>1875445</v>
      </c>
      <c r="B380" t="s">
        <v>389</v>
      </c>
      <c r="C380" t="str">
        <f>"9789004270114"</f>
        <v>9789004270114</v>
      </c>
      <c r="D380" t="str">
        <f>"9789004270121"</f>
        <v>9789004270121</v>
      </c>
      <c r="E380" t="s">
        <v>246</v>
      </c>
      <c r="F380" s="1">
        <v>41957</v>
      </c>
    </row>
    <row r="381" spans="1:6" x14ac:dyDescent="0.25">
      <c r="A381">
        <v>1875459</v>
      </c>
      <c r="B381" t="s">
        <v>390</v>
      </c>
      <c r="C381" t="str">
        <f>"9789004282070"</f>
        <v>9789004282070</v>
      </c>
      <c r="D381" t="str">
        <f>"9789004282087"</f>
        <v>9789004282087</v>
      </c>
      <c r="E381" t="s">
        <v>246</v>
      </c>
      <c r="F381" s="1">
        <v>41957</v>
      </c>
    </row>
    <row r="382" spans="1:6" x14ac:dyDescent="0.25">
      <c r="A382">
        <v>1877182</v>
      </c>
      <c r="B382" t="s">
        <v>391</v>
      </c>
      <c r="C382" t="str">
        <f>"9789004249592"</f>
        <v>9789004249592</v>
      </c>
      <c r="D382" t="str">
        <f>"9789004284340"</f>
        <v>9789004284340</v>
      </c>
      <c r="E382" t="s">
        <v>246</v>
      </c>
      <c r="F382" s="1">
        <v>41971</v>
      </c>
    </row>
    <row r="383" spans="1:6" x14ac:dyDescent="0.25">
      <c r="A383">
        <v>1880410</v>
      </c>
      <c r="B383" t="s">
        <v>392</v>
      </c>
      <c r="C383" t="str">
        <f>"9783110371284"</f>
        <v>9783110371284</v>
      </c>
      <c r="D383" t="str">
        <f>"9783110371291"</f>
        <v>9783110371291</v>
      </c>
      <c r="E383" t="s">
        <v>53</v>
      </c>
      <c r="F383" s="1">
        <v>42033</v>
      </c>
    </row>
    <row r="384" spans="1:6" x14ac:dyDescent="0.25">
      <c r="A384">
        <v>1880417</v>
      </c>
      <c r="B384" t="s">
        <v>393</v>
      </c>
      <c r="C384" t="str">
        <f>"9783110426038"</f>
        <v>9783110426038</v>
      </c>
      <c r="D384" t="str">
        <f>"9783110426045"</f>
        <v>9783110426045</v>
      </c>
      <c r="E384" t="s">
        <v>73</v>
      </c>
      <c r="F384" s="1">
        <v>41988</v>
      </c>
    </row>
    <row r="385" spans="1:6" x14ac:dyDescent="0.25">
      <c r="A385">
        <v>1880440</v>
      </c>
      <c r="B385" t="s">
        <v>394</v>
      </c>
      <c r="C385" t="str">
        <f>"9783110426380"</f>
        <v>9783110426380</v>
      </c>
      <c r="D385" t="str">
        <f>"9783110426403"</f>
        <v>9783110426403</v>
      </c>
      <c r="E385" t="s">
        <v>73</v>
      </c>
      <c r="F385" s="1">
        <v>42023</v>
      </c>
    </row>
    <row r="386" spans="1:6" x14ac:dyDescent="0.25">
      <c r="A386">
        <v>1880442</v>
      </c>
      <c r="B386" t="s">
        <v>395</v>
      </c>
      <c r="C386" t="str">
        <f>"9783110406931"</f>
        <v>9783110406931</v>
      </c>
      <c r="D386" t="str">
        <f>"9783110409239"</f>
        <v>9783110409239</v>
      </c>
      <c r="E386" t="s">
        <v>53</v>
      </c>
      <c r="F386" s="1">
        <v>42167</v>
      </c>
    </row>
    <row r="387" spans="1:6" x14ac:dyDescent="0.25">
      <c r="A387">
        <v>1880456</v>
      </c>
      <c r="B387" t="s">
        <v>396</v>
      </c>
      <c r="C387" t="str">
        <f>"9783110426137"</f>
        <v>9783110426137</v>
      </c>
      <c r="D387" t="str">
        <f>"9783110426120"</f>
        <v>9783110426120</v>
      </c>
      <c r="E387" t="s">
        <v>73</v>
      </c>
      <c r="F387" s="1">
        <v>42089</v>
      </c>
    </row>
    <row r="388" spans="1:6" x14ac:dyDescent="0.25">
      <c r="A388">
        <v>1882336</v>
      </c>
      <c r="B388" t="s">
        <v>397</v>
      </c>
      <c r="C388" t="str">
        <f>"9789089646446"</f>
        <v>9789089646446</v>
      </c>
      <c r="D388" t="str">
        <f>"9789048523108"</f>
        <v>9789048523108</v>
      </c>
      <c r="E388" t="s">
        <v>59</v>
      </c>
      <c r="F388" s="1">
        <v>41936</v>
      </c>
    </row>
    <row r="389" spans="1:6" x14ac:dyDescent="0.25">
      <c r="A389">
        <v>1882337</v>
      </c>
      <c r="B389" t="s">
        <v>398</v>
      </c>
      <c r="C389" t="str">
        <f>"9789089645647"</f>
        <v>9789089645647</v>
      </c>
      <c r="D389" t="str">
        <f>"9789048519712"</f>
        <v>9789048519712</v>
      </c>
      <c r="E389" t="s">
        <v>59</v>
      </c>
      <c r="F389" s="1">
        <v>41873</v>
      </c>
    </row>
    <row r="390" spans="1:6" x14ac:dyDescent="0.25">
      <c r="A390">
        <v>1882338</v>
      </c>
      <c r="B390" t="s">
        <v>399</v>
      </c>
      <c r="C390" t="str">
        <f>"9789089646354"</f>
        <v>9789089646354</v>
      </c>
      <c r="D390" t="str">
        <f>"9789048523009"</f>
        <v>9789048523009</v>
      </c>
      <c r="E390" t="s">
        <v>59</v>
      </c>
      <c r="F390" s="1">
        <v>41936</v>
      </c>
    </row>
    <row r="391" spans="1:6" x14ac:dyDescent="0.25">
      <c r="A391">
        <v>1962524</v>
      </c>
      <c r="B391" t="s">
        <v>400</v>
      </c>
      <c r="C391" t="str">
        <f>"9789089645913"</f>
        <v>9789089645913</v>
      </c>
      <c r="D391" t="str">
        <f>"9789048522033"</f>
        <v>9789048522033</v>
      </c>
      <c r="E391" t="s">
        <v>59</v>
      </c>
      <c r="F391" s="1">
        <v>42046</v>
      </c>
    </row>
    <row r="392" spans="1:6" x14ac:dyDescent="0.25">
      <c r="A392">
        <v>1991830</v>
      </c>
      <c r="B392" t="s">
        <v>401</v>
      </c>
      <c r="C392" t="str">
        <f>"9789004289628"</f>
        <v>9789004289628</v>
      </c>
      <c r="D392" t="str">
        <f>"9789004289635"</f>
        <v>9789004289635</v>
      </c>
      <c r="E392" t="s">
        <v>246</v>
      </c>
      <c r="F392" s="1">
        <v>42076</v>
      </c>
    </row>
    <row r="393" spans="1:6" x14ac:dyDescent="0.25">
      <c r="A393">
        <v>1997340</v>
      </c>
      <c r="B393" t="s">
        <v>402</v>
      </c>
      <c r="C393" t="str">
        <f>"9789089646392"</f>
        <v>9789089646392</v>
      </c>
      <c r="D393" t="str">
        <f>"9789048523030"</f>
        <v>9789048523030</v>
      </c>
      <c r="E393" t="s">
        <v>59</v>
      </c>
      <c r="F393" s="1">
        <v>42030</v>
      </c>
    </row>
    <row r="394" spans="1:6" x14ac:dyDescent="0.25">
      <c r="A394">
        <v>2035724</v>
      </c>
      <c r="B394" t="s">
        <v>403</v>
      </c>
      <c r="C394" t="str">
        <f>"9783110412383"</f>
        <v>9783110412383</v>
      </c>
      <c r="D394" t="str">
        <f>"9783110415513"</f>
        <v>9783110415513</v>
      </c>
      <c r="E394" t="s">
        <v>73</v>
      </c>
      <c r="F394" s="1">
        <v>42076</v>
      </c>
    </row>
    <row r="395" spans="1:6" x14ac:dyDescent="0.25">
      <c r="A395">
        <v>2035733</v>
      </c>
      <c r="B395" t="s">
        <v>404</v>
      </c>
      <c r="C395" t="str">
        <f>"9783110349634"</f>
        <v>9783110349634</v>
      </c>
      <c r="D395" t="str">
        <f>"9783110349702"</f>
        <v>9783110349702</v>
      </c>
      <c r="E395" t="s">
        <v>53</v>
      </c>
      <c r="F395" s="1">
        <v>42111</v>
      </c>
    </row>
    <row r="396" spans="1:6" x14ac:dyDescent="0.25">
      <c r="A396">
        <v>2039372</v>
      </c>
      <c r="B396" t="s">
        <v>405</v>
      </c>
      <c r="C396" t="str">
        <f>"9783110440010"</f>
        <v>9783110440010</v>
      </c>
      <c r="D396" t="str">
        <f>"9783110440027"</f>
        <v>9783110440027</v>
      </c>
      <c r="E396" t="s">
        <v>73</v>
      </c>
      <c r="F396" s="1">
        <v>42118</v>
      </c>
    </row>
    <row r="397" spans="1:6" x14ac:dyDescent="0.25">
      <c r="A397">
        <v>2039373</v>
      </c>
      <c r="B397" t="s">
        <v>406</v>
      </c>
      <c r="C397" t="str">
        <f>"9783110440270"</f>
        <v>9783110440270</v>
      </c>
      <c r="D397" t="str">
        <f>"9783110440287"</f>
        <v>9783110440287</v>
      </c>
      <c r="E397" t="s">
        <v>73</v>
      </c>
      <c r="F397" s="1">
        <v>42118</v>
      </c>
    </row>
    <row r="398" spans="1:6" x14ac:dyDescent="0.25">
      <c r="A398">
        <v>2042160</v>
      </c>
      <c r="B398" t="s">
        <v>407</v>
      </c>
      <c r="C398" t="str">
        <f>"9789089645906"</f>
        <v>9789089645906</v>
      </c>
      <c r="D398" t="str">
        <f>"9789048522019"</f>
        <v>9789048522019</v>
      </c>
      <c r="E398" t="s">
        <v>59</v>
      </c>
      <c r="F398" s="1">
        <v>42083</v>
      </c>
    </row>
    <row r="399" spans="1:6" x14ac:dyDescent="0.25">
      <c r="A399">
        <v>2044383</v>
      </c>
      <c r="B399" t="s">
        <v>408</v>
      </c>
      <c r="C399" t="str">
        <f>"9789089647160"</f>
        <v>9789089647160</v>
      </c>
      <c r="D399" t="str">
        <f>"9789048524457"</f>
        <v>9789048524457</v>
      </c>
      <c r="E399" t="s">
        <v>59</v>
      </c>
      <c r="F399" s="1">
        <v>42061</v>
      </c>
    </row>
    <row r="400" spans="1:6" x14ac:dyDescent="0.25">
      <c r="A400">
        <v>2044384</v>
      </c>
      <c r="B400" t="s">
        <v>409</v>
      </c>
      <c r="C400" t="str">
        <f>"9789089648419"</f>
        <v>9789089648419</v>
      </c>
      <c r="D400" t="str">
        <f>"9789048526956"</f>
        <v>9789048526956</v>
      </c>
      <c r="E400" t="s">
        <v>59</v>
      </c>
      <c r="F400" s="1">
        <v>42075</v>
      </c>
    </row>
    <row r="401" spans="1:6" x14ac:dyDescent="0.25">
      <c r="A401">
        <v>2048598</v>
      </c>
      <c r="B401" t="s">
        <v>410</v>
      </c>
      <c r="C401" t="str">
        <f>"9783110442052"</f>
        <v>9783110442052</v>
      </c>
      <c r="D401" t="str">
        <f>"9783110442069"</f>
        <v>9783110442069</v>
      </c>
      <c r="E401" t="s">
        <v>73</v>
      </c>
      <c r="F401" s="1">
        <v>42335</v>
      </c>
    </row>
    <row r="402" spans="1:6" x14ac:dyDescent="0.25">
      <c r="A402">
        <v>2056402</v>
      </c>
      <c r="B402" t="s">
        <v>411</v>
      </c>
      <c r="C402" t="str">
        <f>"9783110404647"</f>
        <v>9783110404647</v>
      </c>
      <c r="D402" t="str">
        <f>"9783110404692"</f>
        <v>9783110404692</v>
      </c>
      <c r="E402" t="s">
        <v>73</v>
      </c>
      <c r="F402" s="1">
        <v>42151</v>
      </c>
    </row>
    <row r="403" spans="1:6" x14ac:dyDescent="0.25">
      <c r="A403">
        <v>2058746</v>
      </c>
      <c r="B403" t="s">
        <v>412</v>
      </c>
      <c r="C403" t="str">
        <f>"9789027258564"</f>
        <v>9789027258564</v>
      </c>
      <c r="D403" t="str">
        <f>"9789027268686"</f>
        <v>9789027268686</v>
      </c>
      <c r="E403" t="s">
        <v>413</v>
      </c>
      <c r="F403" s="1">
        <v>42152</v>
      </c>
    </row>
    <row r="404" spans="1:6" x14ac:dyDescent="0.25">
      <c r="A404">
        <v>2077560</v>
      </c>
      <c r="B404" t="s">
        <v>414</v>
      </c>
      <c r="C404" t="str">
        <f>"9783110348163"</f>
        <v>9783110348163</v>
      </c>
      <c r="D404" t="str">
        <f>"9783110349122"</f>
        <v>9783110349122</v>
      </c>
      <c r="E404" t="s">
        <v>73</v>
      </c>
      <c r="F404" s="1">
        <v>42181</v>
      </c>
    </row>
    <row r="405" spans="1:6" x14ac:dyDescent="0.25">
      <c r="A405">
        <v>2077563</v>
      </c>
      <c r="B405" t="s">
        <v>415</v>
      </c>
      <c r="C405" t="str">
        <f>"9783110404760"</f>
        <v>9783110404760</v>
      </c>
      <c r="D405" t="str">
        <f>"9783110405033"</f>
        <v>9783110405033</v>
      </c>
      <c r="E405" t="s">
        <v>73</v>
      </c>
      <c r="F405" s="1">
        <v>42181</v>
      </c>
    </row>
    <row r="406" spans="1:6" x14ac:dyDescent="0.25">
      <c r="A406">
        <v>2077568</v>
      </c>
      <c r="B406" t="s">
        <v>416</v>
      </c>
      <c r="C406" t="str">
        <f>"9783110412109"</f>
        <v>9783110412109</v>
      </c>
      <c r="D406" t="str">
        <f>"9783110415230"</f>
        <v>9783110415230</v>
      </c>
      <c r="E406" t="s">
        <v>53</v>
      </c>
      <c r="F406" s="1">
        <v>42181</v>
      </c>
    </row>
    <row r="407" spans="1:6" x14ac:dyDescent="0.25">
      <c r="A407">
        <v>2129552</v>
      </c>
      <c r="B407" t="s">
        <v>417</v>
      </c>
      <c r="C407" t="str">
        <f>"9783486713527"</f>
        <v>9783486713527</v>
      </c>
      <c r="D407" t="str">
        <f>"9783110443509"</f>
        <v>9783110443509</v>
      </c>
      <c r="E407" t="s">
        <v>73</v>
      </c>
      <c r="F407" s="1">
        <v>41878</v>
      </c>
    </row>
    <row r="408" spans="1:6" x14ac:dyDescent="0.25">
      <c r="A408">
        <v>2129553</v>
      </c>
      <c r="B408" t="s">
        <v>418</v>
      </c>
      <c r="C408" t="str">
        <f>"9783110374476"</f>
        <v>9783110374476</v>
      </c>
      <c r="D408" t="str">
        <f>"9783110443516"</f>
        <v>9783110443516</v>
      </c>
      <c r="E408" t="s">
        <v>73</v>
      </c>
      <c r="F408" s="1">
        <v>41985</v>
      </c>
    </row>
    <row r="409" spans="1:6" x14ac:dyDescent="0.25">
      <c r="A409">
        <v>3007801</v>
      </c>
      <c r="B409" t="s">
        <v>419</v>
      </c>
      <c r="C409" t="str">
        <f>"9780822343585"</f>
        <v>9780822343585</v>
      </c>
      <c r="D409" t="str">
        <f>"9780822392071"</f>
        <v>9780822392071</v>
      </c>
      <c r="E409" t="s">
        <v>174</v>
      </c>
      <c r="F409" s="1">
        <v>39939</v>
      </c>
    </row>
    <row r="410" spans="1:6" x14ac:dyDescent="0.25">
      <c r="A410">
        <v>3016907</v>
      </c>
      <c r="B410" t="s">
        <v>420</v>
      </c>
      <c r="C410" t="str">
        <f>"9780719066603"</f>
        <v>9780719066603</v>
      </c>
      <c r="D410" t="str">
        <f>"9781847791009"</f>
        <v>9781847791009</v>
      </c>
      <c r="E410" t="s">
        <v>4</v>
      </c>
      <c r="F410" s="1">
        <v>38200</v>
      </c>
    </row>
    <row r="411" spans="1:6" x14ac:dyDescent="0.25">
      <c r="A411">
        <v>3039692</v>
      </c>
      <c r="B411" t="s">
        <v>421</v>
      </c>
      <c r="C411" t="str">
        <f>"9780870819476"</f>
        <v>9780870819476</v>
      </c>
      <c r="D411" t="str">
        <f>"9780870819704"</f>
        <v>9780870819704</v>
      </c>
      <c r="E411" t="s">
        <v>422</v>
      </c>
      <c r="F411" s="1">
        <v>39964</v>
      </c>
    </row>
    <row r="412" spans="1:6" x14ac:dyDescent="0.25">
      <c r="A412">
        <v>3040295</v>
      </c>
      <c r="B412" t="s">
        <v>423</v>
      </c>
      <c r="C412" t="str">
        <f>"9783110199550"</f>
        <v>9783110199550</v>
      </c>
      <c r="D412" t="str">
        <f>"9783110921724"</f>
        <v>9783110921724</v>
      </c>
      <c r="E412" t="s">
        <v>53</v>
      </c>
      <c r="F412" s="1">
        <v>39220</v>
      </c>
    </row>
    <row r="413" spans="1:6" x14ac:dyDescent="0.25">
      <c r="A413">
        <v>3041522</v>
      </c>
      <c r="B413" t="s">
        <v>424</v>
      </c>
      <c r="C413" t="str">
        <f>"9783484630376"</f>
        <v>9783484630376</v>
      </c>
      <c r="D413" t="str">
        <f>"9783110928921"</f>
        <v>9783110928921</v>
      </c>
      <c r="E413" t="s">
        <v>53</v>
      </c>
      <c r="F413" s="1">
        <v>38604</v>
      </c>
    </row>
    <row r="414" spans="1:6" x14ac:dyDescent="0.25">
      <c r="A414">
        <v>3041543</v>
      </c>
      <c r="B414" t="s">
        <v>425</v>
      </c>
      <c r="C414" t="str">
        <f>"9783110188998"</f>
        <v>9783110188998</v>
      </c>
      <c r="D414" t="str">
        <f>"9783110927405"</f>
        <v>9783110927405</v>
      </c>
      <c r="E414" t="s">
        <v>53</v>
      </c>
      <c r="F414" s="1">
        <v>38701</v>
      </c>
    </row>
    <row r="415" spans="1:6" x14ac:dyDescent="0.25">
      <c r="A415">
        <v>3041822</v>
      </c>
      <c r="B415" t="s">
        <v>426</v>
      </c>
      <c r="C415" t="str">
        <f>"9783110104608"</f>
        <v>9783110104608</v>
      </c>
      <c r="D415" t="str">
        <f>"9783110906486"</f>
        <v>9783110906486</v>
      </c>
      <c r="E415" t="s">
        <v>53</v>
      </c>
      <c r="F415" s="1">
        <v>31079</v>
      </c>
    </row>
    <row r="416" spans="1:6" x14ac:dyDescent="0.25">
      <c r="A416">
        <v>3042124</v>
      </c>
      <c r="B416" t="s">
        <v>427</v>
      </c>
      <c r="C416" t="str">
        <f>"9783110189209"</f>
        <v>9783110189209</v>
      </c>
      <c r="D416" t="str">
        <f>"9783110891621"</f>
        <v>9783110891621</v>
      </c>
      <c r="E416" t="s">
        <v>53</v>
      </c>
      <c r="F416" s="1">
        <v>38979</v>
      </c>
    </row>
    <row r="417" spans="1:6" x14ac:dyDescent="0.25">
      <c r="A417">
        <v>3042681</v>
      </c>
      <c r="B417" t="s">
        <v>428</v>
      </c>
      <c r="C417" t="str">
        <f>"9783110328615"</f>
        <v>9783110328615</v>
      </c>
      <c r="D417" t="str">
        <f>"9783110328950"</f>
        <v>9783110328950</v>
      </c>
      <c r="E417" t="s">
        <v>53</v>
      </c>
      <c r="F417" s="1">
        <v>39706</v>
      </c>
    </row>
    <row r="418" spans="1:6" x14ac:dyDescent="0.25">
      <c r="A418">
        <v>3042721</v>
      </c>
      <c r="B418" t="s">
        <v>429</v>
      </c>
      <c r="C418" t="str">
        <f>"9783110060171"</f>
        <v>9783110060171</v>
      </c>
      <c r="D418" t="str">
        <f>"9783110903263"</f>
        <v>9783110903263</v>
      </c>
      <c r="E418" t="s">
        <v>53</v>
      </c>
      <c r="F418" s="1">
        <v>32933</v>
      </c>
    </row>
    <row r="419" spans="1:6" x14ac:dyDescent="0.25">
      <c r="A419">
        <v>3042729</v>
      </c>
      <c r="B419" t="s">
        <v>430</v>
      </c>
      <c r="C419" t="str">
        <f>"9783110060102"</f>
        <v>9783110060102</v>
      </c>
      <c r="D419" t="str">
        <f>"9783110900736"</f>
        <v>9783110900736</v>
      </c>
      <c r="E419" t="s">
        <v>53</v>
      </c>
      <c r="F419" s="1">
        <v>34912</v>
      </c>
    </row>
    <row r="420" spans="1:6" x14ac:dyDescent="0.25">
      <c r="A420">
        <v>3042731</v>
      </c>
      <c r="B420" t="s">
        <v>431</v>
      </c>
      <c r="C420" t="str">
        <f>"9783110060140"</f>
        <v>9783110060140</v>
      </c>
      <c r="D420" t="str">
        <f>"9783110904499"</f>
        <v>9783110904499</v>
      </c>
      <c r="E420" t="s">
        <v>53</v>
      </c>
      <c r="F420" s="1">
        <v>26938</v>
      </c>
    </row>
    <row r="421" spans="1:6" x14ac:dyDescent="0.25">
      <c r="A421">
        <v>3042756</v>
      </c>
      <c r="B421" t="s">
        <v>432</v>
      </c>
      <c r="C421" t="str">
        <f>"9783110060119"</f>
        <v>9783110060119</v>
      </c>
      <c r="D421" t="str">
        <f>"9783110900743"</f>
        <v>9783110900743</v>
      </c>
      <c r="E421" t="s">
        <v>53</v>
      </c>
      <c r="F421" s="1">
        <v>41311</v>
      </c>
    </row>
    <row r="422" spans="1:6" x14ac:dyDescent="0.25">
      <c r="A422">
        <v>3042757</v>
      </c>
      <c r="B422" t="s">
        <v>433</v>
      </c>
      <c r="C422" t="str">
        <f>"9783110161557"</f>
        <v>9783110161557</v>
      </c>
      <c r="D422" t="str">
        <f>"9783110895834"</f>
        <v>9783110895834</v>
      </c>
      <c r="E422" t="s">
        <v>53</v>
      </c>
      <c r="F422" s="1">
        <v>35907</v>
      </c>
    </row>
    <row r="423" spans="1:6" x14ac:dyDescent="0.25">
      <c r="A423">
        <v>3042767</v>
      </c>
      <c r="B423" t="s">
        <v>434</v>
      </c>
      <c r="C423" t="str">
        <f>"9783110125658"</f>
        <v>9783110125658</v>
      </c>
      <c r="D423" t="str">
        <f>"9783110894929"</f>
        <v>9783110894929</v>
      </c>
      <c r="E423" t="s">
        <v>53</v>
      </c>
      <c r="F423" s="1">
        <v>33178</v>
      </c>
    </row>
    <row r="424" spans="1:6" x14ac:dyDescent="0.25">
      <c r="A424">
        <v>3042780</v>
      </c>
      <c r="B424" t="s">
        <v>435</v>
      </c>
      <c r="C424" t="str">
        <f>"9783110060126"</f>
        <v>9783110060126</v>
      </c>
      <c r="D424" t="str">
        <f>"9783110900750"</f>
        <v>9783110900750</v>
      </c>
      <c r="E424" t="s">
        <v>53</v>
      </c>
      <c r="F424" s="1">
        <v>24108</v>
      </c>
    </row>
    <row r="425" spans="1:6" x14ac:dyDescent="0.25">
      <c r="A425">
        <v>3042787</v>
      </c>
      <c r="B425" t="s">
        <v>436</v>
      </c>
      <c r="C425" t="str">
        <f>"9783110125665"</f>
        <v>9783110125665</v>
      </c>
      <c r="D425" t="str">
        <f>"9783110894936"</f>
        <v>9783110894936</v>
      </c>
      <c r="E425" t="s">
        <v>53</v>
      </c>
      <c r="F425" s="1">
        <v>41311</v>
      </c>
    </row>
    <row r="426" spans="1:6" x14ac:dyDescent="0.25">
      <c r="A426">
        <v>3042790</v>
      </c>
      <c r="B426" t="s">
        <v>437</v>
      </c>
      <c r="C426" t="str">
        <f>"9783110065794"</f>
        <v>9783110065794</v>
      </c>
      <c r="D426" t="str">
        <f>"9783110902631"</f>
        <v>9783110902631</v>
      </c>
      <c r="E426" t="s">
        <v>53</v>
      </c>
      <c r="F426" s="1">
        <v>27546</v>
      </c>
    </row>
    <row r="427" spans="1:6" x14ac:dyDescent="0.25">
      <c r="A427">
        <v>3042794</v>
      </c>
      <c r="B427" t="s">
        <v>438</v>
      </c>
      <c r="C427" t="str">
        <f>"9783110174885"</f>
        <v>9783110174885</v>
      </c>
      <c r="D427" t="str">
        <f>"9783110898743"</f>
        <v>9783110898743</v>
      </c>
      <c r="E427" t="s">
        <v>53</v>
      </c>
      <c r="F427" s="1">
        <v>37372</v>
      </c>
    </row>
    <row r="428" spans="1:6" x14ac:dyDescent="0.25">
      <c r="A428">
        <v>3042810</v>
      </c>
      <c r="B428" t="s">
        <v>439</v>
      </c>
      <c r="C428" t="str">
        <f>"9783899491234"</f>
        <v>9783899491234</v>
      </c>
      <c r="D428" t="str">
        <f>"9783110909852"</f>
        <v>9783110909852</v>
      </c>
      <c r="E428" t="s">
        <v>53</v>
      </c>
      <c r="F428" s="1">
        <v>38092</v>
      </c>
    </row>
    <row r="429" spans="1:6" x14ac:dyDescent="0.25">
      <c r="A429">
        <v>3042836</v>
      </c>
      <c r="B429" t="s">
        <v>440</v>
      </c>
      <c r="C429" t="str">
        <f>"9783110168990"</f>
        <v>9783110168990</v>
      </c>
      <c r="D429" t="str">
        <f>"9783110893533"</f>
        <v>9783110893533</v>
      </c>
      <c r="E429" t="s">
        <v>53</v>
      </c>
      <c r="F429" s="1">
        <v>41323</v>
      </c>
    </row>
    <row r="430" spans="1:6" x14ac:dyDescent="0.25">
      <c r="A430">
        <v>3042841</v>
      </c>
      <c r="B430" t="s">
        <v>441</v>
      </c>
      <c r="C430" t="str">
        <f>"9783110066951"</f>
        <v>9783110066951</v>
      </c>
      <c r="D430" t="str">
        <f>"9783110902976"</f>
        <v>9783110902976</v>
      </c>
      <c r="E430" t="s">
        <v>53</v>
      </c>
      <c r="F430" s="1">
        <v>27851</v>
      </c>
    </row>
    <row r="431" spans="1:6" x14ac:dyDescent="0.25">
      <c r="A431">
        <v>3042847</v>
      </c>
      <c r="B431" t="s">
        <v>442</v>
      </c>
      <c r="C431" t="str">
        <f>"9783110129441"</f>
        <v>9783110129441</v>
      </c>
      <c r="D431" t="str">
        <f>"9783110898156"</f>
        <v>9783110898156</v>
      </c>
      <c r="E431" t="s">
        <v>53</v>
      </c>
      <c r="F431" s="1">
        <v>33329</v>
      </c>
    </row>
    <row r="432" spans="1:6" x14ac:dyDescent="0.25">
      <c r="A432">
        <v>3042855</v>
      </c>
      <c r="B432" t="s">
        <v>443</v>
      </c>
      <c r="C432" t="str">
        <f>"9783110117820"</f>
        <v>9783110117820</v>
      </c>
      <c r="D432" t="str">
        <f>"9783110894561"</f>
        <v>9783110894561</v>
      </c>
      <c r="E432" t="s">
        <v>53</v>
      </c>
      <c r="F432" s="1">
        <v>41206</v>
      </c>
    </row>
    <row r="433" spans="1:6" x14ac:dyDescent="0.25">
      <c r="A433">
        <v>3042879</v>
      </c>
      <c r="B433" t="s">
        <v>444</v>
      </c>
      <c r="C433" t="str">
        <f>"9783110108033"</f>
        <v>9783110108033</v>
      </c>
      <c r="D433" t="str">
        <f>"9783110905885"</f>
        <v>9783110905885</v>
      </c>
      <c r="E433" t="s">
        <v>53</v>
      </c>
      <c r="F433" s="1">
        <v>31472</v>
      </c>
    </row>
    <row r="434" spans="1:6" x14ac:dyDescent="0.25">
      <c r="A434">
        <v>3042909</v>
      </c>
      <c r="B434" t="s">
        <v>445</v>
      </c>
      <c r="C434" t="str">
        <f>"9783110152210"</f>
        <v>9783110152210</v>
      </c>
      <c r="D434" t="str">
        <f>"9783110898491"</f>
        <v>9783110898491</v>
      </c>
      <c r="E434" t="s">
        <v>53</v>
      </c>
      <c r="F434" s="1">
        <v>41206</v>
      </c>
    </row>
    <row r="435" spans="1:6" x14ac:dyDescent="0.25">
      <c r="A435">
        <v>3042911</v>
      </c>
      <c r="B435" t="s">
        <v>446</v>
      </c>
      <c r="C435" t="str">
        <f>"9783110015737"</f>
        <v>9783110015737</v>
      </c>
      <c r="D435" t="str">
        <f>"9783110908831"</f>
        <v>9783110908831</v>
      </c>
      <c r="E435" t="s">
        <v>53</v>
      </c>
      <c r="F435" s="1">
        <v>41311</v>
      </c>
    </row>
    <row r="436" spans="1:6" x14ac:dyDescent="0.25">
      <c r="A436">
        <v>3042969</v>
      </c>
      <c r="B436" t="s">
        <v>447</v>
      </c>
      <c r="C436" t="str">
        <f>"9783110057768"</f>
        <v>9783110057768</v>
      </c>
      <c r="D436" t="str">
        <f>"9783110893496"</f>
        <v>9783110893496</v>
      </c>
      <c r="E436" t="s">
        <v>53</v>
      </c>
      <c r="F436" s="1">
        <v>32933</v>
      </c>
    </row>
    <row r="437" spans="1:6" x14ac:dyDescent="0.25">
      <c r="A437">
        <v>3043002</v>
      </c>
      <c r="B437" t="s">
        <v>448</v>
      </c>
      <c r="C437" t="str">
        <f>"9783110046687"</f>
        <v>9783110046687</v>
      </c>
      <c r="D437" t="str">
        <f>"9783110899085"</f>
        <v>9783110899085</v>
      </c>
      <c r="E437" t="s">
        <v>53</v>
      </c>
      <c r="F437" s="1">
        <v>34912</v>
      </c>
    </row>
    <row r="438" spans="1:6" x14ac:dyDescent="0.25">
      <c r="A438">
        <v>3043006</v>
      </c>
      <c r="B438" t="s">
        <v>449</v>
      </c>
      <c r="C438" t="str">
        <f>"9783110045000"</f>
        <v>9783110045000</v>
      </c>
      <c r="D438" t="str">
        <f>"9783110903591"</f>
        <v>9783110903591</v>
      </c>
      <c r="E438" t="s">
        <v>53</v>
      </c>
      <c r="F438" s="1">
        <v>26908</v>
      </c>
    </row>
    <row r="439" spans="1:6" x14ac:dyDescent="0.25">
      <c r="A439">
        <v>3043022</v>
      </c>
      <c r="B439" t="s">
        <v>450</v>
      </c>
      <c r="C439" t="str">
        <f>"9783110035346"</f>
        <v>9783110035346</v>
      </c>
      <c r="D439" t="str">
        <f>"9783110907605"</f>
        <v>9783110907605</v>
      </c>
      <c r="E439" t="s">
        <v>53</v>
      </c>
      <c r="F439" s="1">
        <v>25051</v>
      </c>
    </row>
    <row r="440" spans="1:6" x14ac:dyDescent="0.25">
      <c r="A440">
        <v>3043024</v>
      </c>
      <c r="B440" t="s">
        <v>451</v>
      </c>
      <c r="C440" t="str">
        <f>"9783110060188"</f>
        <v>9783110060188</v>
      </c>
      <c r="D440" t="str">
        <f>"9783110906646"</f>
        <v>9783110906646</v>
      </c>
      <c r="E440" t="s">
        <v>53</v>
      </c>
      <c r="F440" s="1">
        <v>41311</v>
      </c>
    </row>
    <row r="441" spans="1:6" x14ac:dyDescent="0.25">
      <c r="A441">
        <v>3043028</v>
      </c>
      <c r="B441" t="s">
        <v>452</v>
      </c>
      <c r="C441" t="str">
        <f>"9783110060133"</f>
        <v>9783110060133</v>
      </c>
      <c r="D441" t="str">
        <f>"9783110902013"</f>
        <v>9783110902013</v>
      </c>
      <c r="E441" t="s">
        <v>53</v>
      </c>
      <c r="F441" s="1">
        <v>27515</v>
      </c>
    </row>
    <row r="442" spans="1:6" x14ac:dyDescent="0.25">
      <c r="A442">
        <v>3043052</v>
      </c>
      <c r="B442" t="s">
        <v>453</v>
      </c>
      <c r="C442" t="str">
        <f>"9783110060201"</f>
        <v>9783110060201</v>
      </c>
      <c r="D442" t="str">
        <f>"9783110906653"</f>
        <v>9783110906653</v>
      </c>
      <c r="E442" t="s">
        <v>53</v>
      </c>
      <c r="F442" s="1">
        <v>41311</v>
      </c>
    </row>
    <row r="443" spans="1:6" x14ac:dyDescent="0.25">
      <c r="A443">
        <v>3043058</v>
      </c>
      <c r="B443" t="s">
        <v>454</v>
      </c>
      <c r="C443" t="str">
        <f>"9783110060164"</f>
        <v>9783110060164</v>
      </c>
      <c r="D443" t="str">
        <f>"9783110903256"</f>
        <v>9783110903256</v>
      </c>
      <c r="E443" t="s">
        <v>53</v>
      </c>
      <c r="F443" s="1">
        <v>41311</v>
      </c>
    </row>
    <row r="444" spans="1:6" x14ac:dyDescent="0.25">
      <c r="A444">
        <v>3043373</v>
      </c>
      <c r="B444" t="s">
        <v>455</v>
      </c>
      <c r="C444" t="str">
        <f>"9783899490442"</f>
        <v>9783899490442</v>
      </c>
      <c r="D444" t="str">
        <f>"9783110922806"</f>
        <v>9783110922806</v>
      </c>
      <c r="E444" t="s">
        <v>53</v>
      </c>
      <c r="F444" s="1">
        <v>37678</v>
      </c>
    </row>
    <row r="445" spans="1:6" x14ac:dyDescent="0.25">
      <c r="A445">
        <v>3043578</v>
      </c>
      <c r="B445" t="s">
        <v>456</v>
      </c>
      <c r="C445" t="str">
        <f>"9783110076974"</f>
        <v>9783110076974</v>
      </c>
      <c r="D445" t="str">
        <f>"9783110921588"</f>
        <v>9783110921588</v>
      </c>
      <c r="E445" t="s">
        <v>53</v>
      </c>
      <c r="F445" s="1">
        <v>28581</v>
      </c>
    </row>
    <row r="446" spans="1:6" x14ac:dyDescent="0.25">
      <c r="A446">
        <v>3043596</v>
      </c>
      <c r="B446" t="s">
        <v>457</v>
      </c>
      <c r="C446" t="str">
        <f>"9783110143720"</f>
        <v>9783110143720</v>
      </c>
      <c r="D446" t="str">
        <f>"9783110921380"</f>
        <v>9783110921380</v>
      </c>
      <c r="E446" t="s">
        <v>53</v>
      </c>
      <c r="F446" s="1">
        <v>41338</v>
      </c>
    </row>
    <row r="447" spans="1:6" x14ac:dyDescent="0.25">
      <c r="A447">
        <v>3043663</v>
      </c>
      <c r="B447" t="s">
        <v>458</v>
      </c>
      <c r="C447" t="str">
        <f>"9783110086140"</f>
        <v>9783110086140</v>
      </c>
      <c r="D447" t="str">
        <f>"9783110921502"</f>
        <v>9783110921502</v>
      </c>
      <c r="E447" t="s">
        <v>53</v>
      </c>
      <c r="F447" s="1">
        <v>41206</v>
      </c>
    </row>
    <row r="448" spans="1:6" x14ac:dyDescent="0.25">
      <c r="A448">
        <v>3044097</v>
      </c>
      <c r="B448" t="s">
        <v>459</v>
      </c>
      <c r="C448" t="str">
        <f>"9783110060232"</f>
        <v>9783110060232</v>
      </c>
      <c r="D448" t="str">
        <f>"9783110874891"</f>
        <v>9783110874891</v>
      </c>
      <c r="E448" t="s">
        <v>53</v>
      </c>
      <c r="F448" s="1">
        <v>41323</v>
      </c>
    </row>
    <row r="449" spans="1:6" x14ac:dyDescent="0.25">
      <c r="A449">
        <v>3044111</v>
      </c>
      <c r="B449" t="s">
        <v>460</v>
      </c>
      <c r="C449" t="str">
        <f>"9783110060041"</f>
        <v>9783110060041</v>
      </c>
      <c r="D449" t="str">
        <f>"9783110888218"</f>
        <v>9783110888218</v>
      </c>
      <c r="E449" t="s">
        <v>53</v>
      </c>
      <c r="F449" s="1">
        <v>41311</v>
      </c>
    </row>
    <row r="450" spans="1:6" x14ac:dyDescent="0.25">
      <c r="A450">
        <v>3044122</v>
      </c>
      <c r="B450" t="s">
        <v>461</v>
      </c>
      <c r="C450" t="str">
        <f>"9783110060270"</f>
        <v>9783110060270</v>
      </c>
      <c r="D450" t="str">
        <f>"9783110876376"</f>
        <v>9783110876376</v>
      </c>
      <c r="E450" t="s">
        <v>53</v>
      </c>
      <c r="F450" s="1">
        <v>41323</v>
      </c>
    </row>
    <row r="451" spans="1:6" x14ac:dyDescent="0.25">
      <c r="A451">
        <v>3044142</v>
      </c>
      <c r="B451" t="s">
        <v>462</v>
      </c>
      <c r="C451" t="str">
        <f>"9783110060287"</f>
        <v>9783110060287</v>
      </c>
      <c r="D451" t="str">
        <f>"9783110877342"</f>
        <v>9783110877342</v>
      </c>
      <c r="E451" t="s">
        <v>53</v>
      </c>
      <c r="F451" s="1">
        <v>25324</v>
      </c>
    </row>
    <row r="452" spans="1:6" x14ac:dyDescent="0.25">
      <c r="A452">
        <v>3044152</v>
      </c>
      <c r="B452" t="s">
        <v>463</v>
      </c>
      <c r="C452" t="str">
        <f>"9783110080254"</f>
        <v>9783110080254</v>
      </c>
      <c r="D452" t="str">
        <f>"9783110880489"</f>
        <v>9783110880489</v>
      </c>
      <c r="E452" t="s">
        <v>53</v>
      </c>
      <c r="F452" s="1">
        <v>28976</v>
      </c>
    </row>
    <row r="453" spans="1:6" x14ac:dyDescent="0.25">
      <c r="A453">
        <v>3044166</v>
      </c>
      <c r="B453" t="s">
        <v>464</v>
      </c>
      <c r="C453" t="str">
        <f>"9783110100266"</f>
        <v>9783110100266</v>
      </c>
      <c r="D453" t="str">
        <f>"9783110871104"</f>
        <v>9783110871104</v>
      </c>
      <c r="E453" t="s">
        <v>53</v>
      </c>
      <c r="F453" s="1">
        <v>30742</v>
      </c>
    </row>
    <row r="454" spans="1:6" x14ac:dyDescent="0.25">
      <c r="A454">
        <v>3044173</v>
      </c>
      <c r="B454" t="s">
        <v>465</v>
      </c>
      <c r="C454" t="str">
        <f>"9783110140101"</f>
        <v>9783110140101</v>
      </c>
      <c r="D454" t="str">
        <f>"9783110891270"</f>
        <v>9783110891270</v>
      </c>
      <c r="E454" t="s">
        <v>53</v>
      </c>
      <c r="F454" s="1">
        <v>34121</v>
      </c>
    </row>
    <row r="455" spans="1:6" x14ac:dyDescent="0.25">
      <c r="A455">
        <v>3044193</v>
      </c>
      <c r="B455" t="s">
        <v>466</v>
      </c>
      <c r="C455" t="str">
        <f>"9783110097733"</f>
        <v>9783110097733</v>
      </c>
      <c r="D455" t="str">
        <f>"9783110873818"</f>
        <v>9783110873818</v>
      </c>
      <c r="E455" t="s">
        <v>53</v>
      </c>
      <c r="F455" s="1">
        <v>41311</v>
      </c>
    </row>
    <row r="456" spans="1:6" x14ac:dyDescent="0.25">
      <c r="A456">
        <v>3044217</v>
      </c>
      <c r="B456" t="s">
        <v>467</v>
      </c>
      <c r="C456" t="str">
        <f>"9783110148510"</f>
        <v>9783110148510</v>
      </c>
      <c r="D456" t="str">
        <f>"9783110875096"</f>
        <v>9783110875096</v>
      </c>
      <c r="E456" t="s">
        <v>53</v>
      </c>
      <c r="F456" s="1">
        <v>41323</v>
      </c>
    </row>
    <row r="457" spans="1:6" x14ac:dyDescent="0.25">
      <c r="A457">
        <v>3044257</v>
      </c>
      <c r="B457" t="s">
        <v>468</v>
      </c>
      <c r="C457" t="str">
        <f>"9783110060263"</f>
        <v>9783110060263</v>
      </c>
      <c r="D457" t="str">
        <f>"9783110875980"</f>
        <v>9783110875980</v>
      </c>
      <c r="E457" t="s">
        <v>53</v>
      </c>
      <c r="F457" s="1">
        <v>41323</v>
      </c>
    </row>
    <row r="458" spans="1:6" x14ac:dyDescent="0.25">
      <c r="A458">
        <v>3044260</v>
      </c>
      <c r="B458" t="s">
        <v>469</v>
      </c>
      <c r="C458" t="str">
        <f>"9783110073225"</f>
        <v>9783110073225</v>
      </c>
      <c r="D458" t="str">
        <f>"9783110890099"</f>
        <v>9783110890099</v>
      </c>
      <c r="E458" t="s">
        <v>53</v>
      </c>
      <c r="F458" s="1">
        <v>41311</v>
      </c>
    </row>
    <row r="459" spans="1:6" x14ac:dyDescent="0.25">
      <c r="A459">
        <v>3044269</v>
      </c>
      <c r="B459" t="s">
        <v>470</v>
      </c>
      <c r="C459" t="str">
        <f>"9783110060218"</f>
        <v>9783110060218</v>
      </c>
      <c r="D459" t="str">
        <f>"9783110875102"</f>
        <v>9783110875102</v>
      </c>
      <c r="E459" t="s">
        <v>53</v>
      </c>
      <c r="F459" s="1">
        <v>41311</v>
      </c>
    </row>
    <row r="460" spans="1:6" x14ac:dyDescent="0.25">
      <c r="A460">
        <v>3044280</v>
      </c>
      <c r="B460" t="s">
        <v>471</v>
      </c>
      <c r="C460" t="str">
        <f>"9783110135800"</f>
        <v>9783110135800</v>
      </c>
      <c r="D460" t="str">
        <f>"9783110869668"</f>
        <v>9783110869668</v>
      </c>
      <c r="E460" t="s">
        <v>53</v>
      </c>
      <c r="F460" s="1">
        <v>41402</v>
      </c>
    </row>
    <row r="461" spans="1:6" x14ac:dyDescent="0.25">
      <c r="A461">
        <v>3044281</v>
      </c>
      <c r="B461" t="s">
        <v>472</v>
      </c>
      <c r="C461" t="str">
        <f>"9783110113679"</f>
        <v>9783110113679</v>
      </c>
      <c r="D461" t="str">
        <f>"9783110892024"</f>
        <v>9783110892024</v>
      </c>
      <c r="E461" t="s">
        <v>53</v>
      </c>
      <c r="F461" s="1">
        <v>31959</v>
      </c>
    </row>
    <row r="462" spans="1:6" x14ac:dyDescent="0.25">
      <c r="A462">
        <v>3044288</v>
      </c>
      <c r="B462" t="s">
        <v>473</v>
      </c>
      <c r="C462" t="str">
        <f>"9783110060072"</f>
        <v>9783110060072</v>
      </c>
      <c r="D462" t="str">
        <f>"9783110888249"</f>
        <v>9783110888249</v>
      </c>
      <c r="E462" t="s">
        <v>53</v>
      </c>
      <c r="F462" s="1">
        <v>41311</v>
      </c>
    </row>
    <row r="463" spans="1:6" x14ac:dyDescent="0.25">
      <c r="A463">
        <v>3044294</v>
      </c>
      <c r="B463" t="s">
        <v>474</v>
      </c>
      <c r="C463" t="str">
        <f>"9783110083644"</f>
        <v>9783110083644</v>
      </c>
      <c r="D463" t="str">
        <f>"9783110873344"</f>
        <v>9783110873344</v>
      </c>
      <c r="E463" t="s">
        <v>53</v>
      </c>
      <c r="F463" s="1">
        <v>29342</v>
      </c>
    </row>
    <row r="464" spans="1:6" x14ac:dyDescent="0.25">
      <c r="A464">
        <v>3044295</v>
      </c>
      <c r="B464" t="s">
        <v>475</v>
      </c>
      <c r="C464" t="str">
        <f>"9783110121797"</f>
        <v>9783110121797</v>
      </c>
      <c r="D464" t="str">
        <f>"9783110890877"</f>
        <v>9783110890877</v>
      </c>
      <c r="E464" t="s">
        <v>53</v>
      </c>
      <c r="F464" s="1">
        <v>41311</v>
      </c>
    </row>
    <row r="465" spans="1:6" x14ac:dyDescent="0.25">
      <c r="A465">
        <v>3044302</v>
      </c>
      <c r="B465" t="s">
        <v>476</v>
      </c>
      <c r="C465" t="str">
        <f>"9783110095555"</f>
        <v>9783110095555</v>
      </c>
      <c r="D465" t="str">
        <f>"9783110875171"</f>
        <v>9783110875171</v>
      </c>
      <c r="E465" t="s">
        <v>53</v>
      </c>
      <c r="F465" s="1">
        <v>30195</v>
      </c>
    </row>
    <row r="466" spans="1:6" x14ac:dyDescent="0.25">
      <c r="A466">
        <v>3044317</v>
      </c>
      <c r="B466" t="s">
        <v>477</v>
      </c>
      <c r="C466" t="str">
        <f>"9783110060089"</f>
        <v>9783110060089</v>
      </c>
      <c r="D466" t="str">
        <f>"9783110888256"</f>
        <v>9783110888256</v>
      </c>
      <c r="E466" t="s">
        <v>53</v>
      </c>
      <c r="F466" s="1">
        <v>27515</v>
      </c>
    </row>
    <row r="467" spans="1:6" x14ac:dyDescent="0.25">
      <c r="A467">
        <v>3044319</v>
      </c>
      <c r="B467" t="s">
        <v>478</v>
      </c>
      <c r="C467" t="str">
        <f>"9783110171921"</f>
        <v>9783110171921</v>
      </c>
      <c r="D467" t="str">
        <f>"9783110879964"</f>
        <v>9783110879964</v>
      </c>
      <c r="E467" t="s">
        <v>53</v>
      </c>
      <c r="F467" s="1">
        <v>41323</v>
      </c>
    </row>
    <row r="468" spans="1:6" x14ac:dyDescent="0.25">
      <c r="A468">
        <v>3044327</v>
      </c>
      <c r="B468" t="s">
        <v>479</v>
      </c>
      <c r="C468" t="str">
        <f>"9783110165869"</f>
        <v>9783110165869</v>
      </c>
      <c r="D468" t="str">
        <f>"9783110869996"</f>
        <v>9783110869996</v>
      </c>
      <c r="E468" t="s">
        <v>53</v>
      </c>
      <c r="F468" s="1">
        <v>41323</v>
      </c>
    </row>
    <row r="469" spans="1:6" x14ac:dyDescent="0.25">
      <c r="A469">
        <v>3044336</v>
      </c>
      <c r="B469" t="s">
        <v>480</v>
      </c>
      <c r="C469" t="str">
        <f>"9783110042238"</f>
        <v>9783110042238</v>
      </c>
      <c r="D469" t="str">
        <f>"9783110890211"</f>
        <v>9783110890211</v>
      </c>
      <c r="E469" t="s">
        <v>53</v>
      </c>
      <c r="F469" s="1">
        <v>41323</v>
      </c>
    </row>
    <row r="470" spans="1:6" x14ac:dyDescent="0.25">
      <c r="A470">
        <v>3044347</v>
      </c>
      <c r="B470" t="s">
        <v>481</v>
      </c>
      <c r="C470" t="str">
        <f>"9783110060096"</f>
        <v>9783110060096</v>
      </c>
      <c r="D470" t="str">
        <f>"9783110888263"</f>
        <v>9783110888263</v>
      </c>
      <c r="E470" t="s">
        <v>53</v>
      </c>
      <c r="F470" s="1">
        <v>41311</v>
      </c>
    </row>
    <row r="471" spans="1:6" x14ac:dyDescent="0.25">
      <c r="A471">
        <v>3044367</v>
      </c>
      <c r="B471" t="s">
        <v>482</v>
      </c>
      <c r="C471" t="str">
        <f>"9783110060294"</f>
        <v>9783110060294</v>
      </c>
      <c r="D471" t="str">
        <f>"9783110882957"</f>
        <v>9783110882957</v>
      </c>
      <c r="E471" t="s">
        <v>53</v>
      </c>
      <c r="F471" s="1">
        <v>41323</v>
      </c>
    </row>
    <row r="472" spans="1:6" x14ac:dyDescent="0.25">
      <c r="A472">
        <v>3044379</v>
      </c>
      <c r="B472" t="s">
        <v>483</v>
      </c>
      <c r="C472" t="str">
        <f>"9783110060249"</f>
        <v>9783110060249</v>
      </c>
      <c r="D472" t="str">
        <f>"9783110874907"</f>
        <v>9783110874907</v>
      </c>
      <c r="E472" t="s">
        <v>53</v>
      </c>
      <c r="F472" s="1">
        <v>41311</v>
      </c>
    </row>
    <row r="473" spans="1:6" x14ac:dyDescent="0.25">
      <c r="A473">
        <v>3044384</v>
      </c>
      <c r="B473" t="s">
        <v>484</v>
      </c>
      <c r="C473" t="str">
        <f>"9783110036848"</f>
        <v>9783110036848</v>
      </c>
      <c r="D473" t="str">
        <f>"9783110892314"</f>
        <v>9783110892314</v>
      </c>
      <c r="E473" t="s">
        <v>53</v>
      </c>
      <c r="F473" s="1">
        <v>41323</v>
      </c>
    </row>
    <row r="474" spans="1:6" x14ac:dyDescent="0.25">
      <c r="A474">
        <v>3044409</v>
      </c>
      <c r="B474" t="s">
        <v>485</v>
      </c>
      <c r="C474" t="str">
        <f>"9783110060256"</f>
        <v>9783110060256</v>
      </c>
      <c r="D474" t="str">
        <f>"9783110874914"</f>
        <v>9783110874914</v>
      </c>
      <c r="E474" t="s">
        <v>53</v>
      </c>
      <c r="F474" s="1">
        <v>41323</v>
      </c>
    </row>
    <row r="475" spans="1:6" x14ac:dyDescent="0.25">
      <c r="A475">
        <v>3044427</v>
      </c>
      <c r="B475" t="s">
        <v>486</v>
      </c>
      <c r="C475" t="str">
        <f>"9783110060225"</f>
        <v>9783110060225</v>
      </c>
      <c r="D475" t="str">
        <f>"9783110875119"</f>
        <v>9783110875119</v>
      </c>
      <c r="E475" t="s">
        <v>53</v>
      </c>
      <c r="F475" s="1">
        <v>24016</v>
      </c>
    </row>
    <row r="476" spans="1:6" x14ac:dyDescent="0.25">
      <c r="A476">
        <v>3044432</v>
      </c>
      <c r="B476" t="s">
        <v>487</v>
      </c>
      <c r="C476" t="str">
        <f>"9783110156201"</f>
        <v>9783110156201</v>
      </c>
      <c r="D476" t="str">
        <f>"9783110890501"</f>
        <v>9783110890501</v>
      </c>
      <c r="E476" t="s">
        <v>53</v>
      </c>
      <c r="F476" s="1">
        <v>35522</v>
      </c>
    </row>
    <row r="477" spans="1:6" x14ac:dyDescent="0.25">
      <c r="A477">
        <v>3045864</v>
      </c>
      <c r="B477" t="s">
        <v>488</v>
      </c>
      <c r="C477" t="str">
        <f>"9783486564808"</f>
        <v>9783486564808</v>
      </c>
      <c r="D477" t="str">
        <f>"9783486718324"</f>
        <v>9783486718324</v>
      </c>
      <c r="E477" t="s">
        <v>73</v>
      </c>
      <c r="F477" s="1">
        <v>36741</v>
      </c>
    </row>
    <row r="478" spans="1:6" x14ac:dyDescent="0.25">
      <c r="A478">
        <v>3045867</v>
      </c>
      <c r="B478" t="s">
        <v>489</v>
      </c>
      <c r="C478" t="str">
        <f>"9783486564181"</f>
        <v>9783486564181</v>
      </c>
      <c r="D478" t="str">
        <f>"9783486718331"</f>
        <v>9783486718331</v>
      </c>
      <c r="E478" t="s">
        <v>73</v>
      </c>
      <c r="F478" s="1">
        <v>36488</v>
      </c>
    </row>
    <row r="479" spans="1:6" x14ac:dyDescent="0.25">
      <c r="A479">
        <v>3045869</v>
      </c>
      <c r="B479" t="s">
        <v>490</v>
      </c>
      <c r="C479" t="str">
        <f>"9783486564983"</f>
        <v>9783486564983</v>
      </c>
      <c r="D479" t="str">
        <f>"9783486718171"</f>
        <v>9783486718171</v>
      </c>
      <c r="E479" t="s">
        <v>73</v>
      </c>
      <c r="F479" s="1">
        <v>36866</v>
      </c>
    </row>
    <row r="480" spans="1:6" x14ac:dyDescent="0.25">
      <c r="A480">
        <v>3045875</v>
      </c>
      <c r="B480" t="s">
        <v>491</v>
      </c>
      <c r="C480" t="str">
        <f>"9783486563221"</f>
        <v>9783486563221</v>
      </c>
      <c r="D480" t="str">
        <f>"9783486718201"</f>
        <v>9783486718201</v>
      </c>
      <c r="E480" t="s">
        <v>73</v>
      </c>
      <c r="F480" s="1">
        <v>35893</v>
      </c>
    </row>
    <row r="481" spans="1:6" x14ac:dyDescent="0.25">
      <c r="A481">
        <v>3045878</v>
      </c>
      <c r="B481" t="s">
        <v>492</v>
      </c>
      <c r="C481" t="str">
        <f>"9783486563085"</f>
        <v>9783486563085</v>
      </c>
      <c r="D481" t="str">
        <f>"9783486718348"</f>
        <v>9783486718348</v>
      </c>
      <c r="E481" t="s">
        <v>73</v>
      </c>
      <c r="F481" s="1">
        <v>35739</v>
      </c>
    </row>
    <row r="482" spans="1:6" x14ac:dyDescent="0.25">
      <c r="A482">
        <v>3045883</v>
      </c>
      <c r="B482" t="s">
        <v>493</v>
      </c>
      <c r="C482" t="str">
        <f>"9783486564792"</f>
        <v>9783486564792</v>
      </c>
      <c r="D482" t="str">
        <f>"9783486718188"</f>
        <v>9783486718188</v>
      </c>
      <c r="E482" t="s">
        <v>73</v>
      </c>
      <c r="F482" s="1">
        <v>36537</v>
      </c>
    </row>
    <row r="483" spans="1:6" x14ac:dyDescent="0.25">
      <c r="A483">
        <v>3045886</v>
      </c>
      <c r="B483" t="s">
        <v>494</v>
      </c>
      <c r="C483" t="str">
        <f>"9783486564112"</f>
        <v>9783486564112</v>
      </c>
      <c r="D483" t="str">
        <f>"9783486718195"</f>
        <v>9783486718195</v>
      </c>
      <c r="E483" t="s">
        <v>73</v>
      </c>
      <c r="F483" s="1">
        <v>36173</v>
      </c>
    </row>
    <row r="484" spans="1:6" x14ac:dyDescent="0.25">
      <c r="A484">
        <v>3045889</v>
      </c>
      <c r="B484" t="s">
        <v>495</v>
      </c>
      <c r="C484" t="str">
        <f>"9783486561555"</f>
        <v>9783486561555</v>
      </c>
      <c r="D484" t="str">
        <f>"9783486718218"</f>
        <v>9783486718218</v>
      </c>
      <c r="E484" t="s">
        <v>73</v>
      </c>
      <c r="F484" s="1">
        <v>35459</v>
      </c>
    </row>
    <row r="485" spans="1:6" x14ac:dyDescent="0.25">
      <c r="A485">
        <v>3045894</v>
      </c>
      <c r="B485" t="s">
        <v>496</v>
      </c>
      <c r="C485" t="str">
        <f>"9783486560718"</f>
        <v>9783486560718</v>
      </c>
      <c r="D485" t="str">
        <f>"9783486718225"</f>
        <v>9783486718225</v>
      </c>
      <c r="E485" t="s">
        <v>73</v>
      </c>
      <c r="F485" s="1">
        <v>35102</v>
      </c>
    </row>
    <row r="486" spans="1:6" x14ac:dyDescent="0.25">
      <c r="A486">
        <v>3045898</v>
      </c>
      <c r="B486" t="s">
        <v>497</v>
      </c>
      <c r="C486" t="str">
        <f>"9783486559644"</f>
        <v>9783486559644</v>
      </c>
      <c r="D486" t="str">
        <f>"9783486718294"</f>
        <v>9783486718294</v>
      </c>
      <c r="E486" t="s">
        <v>73</v>
      </c>
      <c r="F486" s="1">
        <v>34234</v>
      </c>
    </row>
    <row r="487" spans="1:6" x14ac:dyDescent="0.25">
      <c r="A487">
        <v>3045903</v>
      </c>
      <c r="B487" t="s">
        <v>498</v>
      </c>
      <c r="C487" t="str">
        <f>"9783486565607"</f>
        <v>9783486565607</v>
      </c>
      <c r="D487" t="str">
        <f>"9783486718317"</f>
        <v>9783486718317</v>
      </c>
      <c r="E487" t="s">
        <v>73</v>
      </c>
      <c r="F487" s="1">
        <v>37230</v>
      </c>
    </row>
    <row r="488" spans="1:6" x14ac:dyDescent="0.25">
      <c r="A488">
        <v>3045986</v>
      </c>
      <c r="B488" t="s">
        <v>499</v>
      </c>
      <c r="C488" t="str">
        <f>"9783486583281"</f>
        <v>9783486583281</v>
      </c>
      <c r="D488" t="str">
        <f>"9783486707526"</f>
        <v>9783486707526</v>
      </c>
      <c r="E488" t="s">
        <v>73</v>
      </c>
      <c r="F488" s="1">
        <v>39405</v>
      </c>
    </row>
    <row r="489" spans="1:6" x14ac:dyDescent="0.25">
      <c r="A489">
        <v>3046018</v>
      </c>
      <c r="B489" t="s">
        <v>500</v>
      </c>
      <c r="C489" t="str">
        <f>"9783486580389"</f>
        <v>9783486580389</v>
      </c>
      <c r="D489" t="str">
        <f>"9783486707632"</f>
        <v>9783486707632</v>
      </c>
      <c r="E489" t="s">
        <v>73</v>
      </c>
      <c r="F489" s="1">
        <v>39132</v>
      </c>
    </row>
    <row r="490" spans="1:6" x14ac:dyDescent="0.25">
      <c r="A490">
        <v>3048823</v>
      </c>
      <c r="B490" t="s">
        <v>501</v>
      </c>
      <c r="C490" t="str">
        <f>"9783486579819"</f>
        <v>9783486579819</v>
      </c>
      <c r="D490" t="str">
        <f>"9783486840148"</f>
        <v>9783486840148</v>
      </c>
      <c r="E490" t="s">
        <v>73</v>
      </c>
      <c r="F490" s="1">
        <v>38945</v>
      </c>
    </row>
    <row r="491" spans="1:6" x14ac:dyDescent="0.25">
      <c r="A491">
        <v>3048837</v>
      </c>
      <c r="B491" t="s">
        <v>502</v>
      </c>
      <c r="C491" t="str">
        <f>"9783486591354"</f>
        <v>9783486591354</v>
      </c>
      <c r="D491" t="str">
        <f>"9783486851502"</f>
        <v>9783486851502</v>
      </c>
      <c r="E491" t="s">
        <v>73</v>
      </c>
      <c r="F491" s="1">
        <v>40107</v>
      </c>
    </row>
    <row r="492" spans="1:6" x14ac:dyDescent="0.25">
      <c r="A492">
        <v>3048851</v>
      </c>
      <c r="B492" t="s">
        <v>503</v>
      </c>
      <c r="C492" t="str">
        <f>"9783486582949"</f>
        <v>9783486582949</v>
      </c>
      <c r="D492" t="str">
        <f>"9783486843583"</f>
        <v>9783486843583</v>
      </c>
      <c r="E492" t="s">
        <v>73</v>
      </c>
      <c r="F492" s="1">
        <v>39524</v>
      </c>
    </row>
    <row r="493" spans="1:6" x14ac:dyDescent="0.25">
      <c r="A493">
        <v>3048865</v>
      </c>
      <c r="B493" t="s">
        <v>504</v>
      </c>
      <c r="C493" t="str">
        <f>"9783486580273"</f>
        <v>9783486580273</v>
      </c>
      <c r="D493" t="str">
        <f>"9783486840568"</f>
        <v>9783486840568</v>
      </c>
      <c r="E493" t="s">
        <v>73</v>
      </c>
      <c r="F493" s="1">
        <v>39636</v>
      </c>
    </row>
    <row r="494" spans="1:6" x14ac:dyDescent="0.25">
      <c r="A494">
        <v>3048892</v>
      </c>
      <c r="B494" t="s">
        <v>505</v>
      </c>
      <c r="C494" t="str">
        <f>"9783486580280"</f>
        <v>9783486580280</v>
      </c>
      <c r="D494" t="str">
        <f>"9783486840582"</f>
        <v>9783486840582</v>
      </c>
      <c r="E494" t="s">
        <v>73</v>
      </c>
      <c r="F494" s="1">
        <v>39090</v>
      </c>
    </row>
    <row r="495" spans="1:6" x14ac:dyDescent="0.25">
      <c r="A495">
        <v>3048902</v>
      </c>
      <c r="B495" t="s">
        <v>506</v>
      </c>
      <c r="C495" t="str">
        <f>"9783486587951"</f>
        <v>9783486587951</v>
      </c>
      <c r="D495" t="str">
        <f>"9783486848403"</f>
        <v>9783486848403</v>
      </c>
      <c r="E495" t="s">
        <v>73</v>
      </c>
      <c r="F495" s="1">
        <v>39727</v>
      </c>
    </row>
    <row r="496" spans="1:6" x14ac:dyDescent="0.25">
      <c r="A496">
        <v>3049193</v>
      </c>
      <c r="B496" t="s">
        <v>507</v>
      </c>
      <c r="C496" t="str">
        <f>"9783486565881"</f>
        <v>9783486565881</v>
      </c>
      <c r="D496" t="str">
        <f>"9783486832846"</f>
        <v>9783486832846</v>
      </c>
      <c r="E496" t="s">
        <v>73</v>
      </c>
      <c r="F496" s="1">
        <v>37326</v>
      </c>
    </row>
    <row r="497" spans="1:6" x14ac:dyDescent="0.25">
      <c r="A497">
        <v>3049195</v>
      </c>
      <c r="B497" t="s">
        <v>508</v>
      </c>
      <c r="C497" t="str">
        <f>"9783486575798"</f>
        <v>9783486575798</v>
      </c>
      <c r="D497" t="str">
        <f>"9783486835847"</f>
        <v>9783486835847</v>
      </c>
      <c r="E497" t="s">
        <v>73</v>
      </c>
      <c r="F497" s="1">
        <v>38693</v>
      </c>
    </row>
    <row r="498" spans="1:6" x14ac:dyDescent="0.25">
      <c r="A498">
        <v>3049223</v>
      </c>
      <c r="B498" t="s">
        <v>509</v>
      </c>
      <c r="C498" t="str">
        <f>"9783486567397"</f>
        <v>9783486567397</v>
      </c>
      <c r="D498" t="str">
        <f>"9783486834185"</f>
        <v>9783486834185</v>
      </c>
      <c r="E498" t="s">
        <v>73</v>
      </c>
      <c r="F498" s="1">
        <v>37832</v>
      </c>
    </row>
    <row r="499" spans="1:6" x14ac:dyDescent="0.25">
      <c r="A499">
        <v>3049226</v>
      </c>
      <c r="B499" t="s">
        <v>510</v>
      </c>
      <c r="C499" t="str">
        <f>"9783486576719"</f>
        <v>9783486576719</v>
      </c>
      <c r="D499" t="str">
        <f>"9783486836721"</f>
        <v>9783486836721</v>
      </c>
      <c r="E499" t="s">
        <v>73</v>
      </c>
      <c r="F499" s="1">
        <v>38784</v>
      </c>
    </row>
    <row r="500" spans="1:6" x14ac:dyDescent="0.25">
      <c r="A500">
        <v>3049258</v>
      </c>
      <c r="B500" t="s">
        <v>511</v>
      </c>
      <c r="C500" t="str">
        <f>"9783486568448"</f>
        <v>9783486568448</v>
      </c>
      <c r="D500" t="str">
        <f>"9783486835588"</f>
        <v>9783486835588</v>
      </c>
      <c r="E500" t="s">
        <v>73</v>
      </c>
      <c r="F500" s="1">
        <v>38217</v>
      </c>
    </row>
    <row r="501" spans="1:6" x14ac:dyDescent="0.25">
      <c r="A501">
        <v>3049276</v>
      </c>
      <c r="B501" t="s">
        <v>512</v>
      </c>
      <c r="C501" t="str">
        <f>"9783486566888"</f>
        <v>9783486566888</v>
      </c>
      <c r="D501" t="str">
        <f>"9783486833669"</f>
        <v>9783486833669</v>
      </c>
      <c r="E501" t="s">
        <v>73</v>
      </c>
      <c r="F501" s="1">
        <v>37769</v>
      </c>
    </row>
    <row r="502" spans="1:6" x14ac:dyDescent="0.25">
      <c r="A502">
        <v>3110375</v>
      </c>
      <c r="B502" t="s">
        <v>513</v>
      </c>
      <c r="C502" t="str">
        <f>"9781934843208"</f>
        <v>9781934843208</v>
      </c>
      <c r="D502" t="str">
        <f>"9781618110954"</f>
        <v>9781618110954</v>
      </c>
      <c r="E502" t="s">
        <v>514</v>
      </c>
      <c r="F502" s="1">
        <v>39934</v>
      </c>
    </row>
    <row r="503" spans="1:6" x14ac:dyDescent="0.25">
      <c r="A503">
        <v>3110378</v>
      </c>
      <c r="B503" t="s">
        <v>515</v>
      </c>
      <c r="C503" t="str">
        <f>"9781934843024"</f>
        <v>9781934843024</v>
      </c>
      <c r="D503" t="str">
        <f>"9781618110053"</f>
        <v>9781618110053</v>
      </c>
      <c r="E503" t="s">
        <v>514</v>
      </c>
      <c r="F503" s="1">
        <v>39508</v>
      </c>
    </row>
    <row r="504" spans="1:6" x14ac:dyDescent="0.25">
      <c r="A504">
        <v>3110387</v>
      </c>
      <c r="B504" t="s">
        <v>516</v>
      </c>
      <c r="C504" t="str">
        <f>"9781934843239"</f>
        <v>9781934843239</v>
      </c>
      <c r="D504" t="str">
        <f>"9781618116987"</f>
        <v>9781618116987</v>
      </c>
      <c r="E504" t="s">
        <v>514</v>
      </c>
      <c r="F504" s="1">
        <v>39692</v>
      </c>
    </row>
    <row r="505" spans="1:6" x14ac:dyDescent="0.25">
      <c r="A505">
        <v>3110388</v>
      </c>
      <c r="B505" t="s">
        <v>517</v>
      </c>
      <c r="C505" t="str">
        <f>"9781934843659"</f>
        <v>9781934843659</v>
      </c>
      <c r="D505" t="str">
        <f>"9781618117052"</f>
        <v>9781618117052</v>
      </c>
      <c r="E505" t="s">
        <v>514</v>
      </c>
      <c r="F505" s="1">
        <v>40057</v>
      </c>
    </row>
    <row r="506" spans="1:6" x14ac:dyDescent="0.25">
      <c r="A506">
        <v>3110389</v>
      </c>
      <c r="B506" t="s">
        <v>518</v>
      </c>
      <c r="C506" t="str">
        <f>"9781934843680"</f>
        <v>9781934843680</v>
      </c>
      <c r="D506" t="str">
        <f>"9781618111296"</f>
        <v>9781618111296</v>
      </c>
      <c r="E506" t="s">
        <v>514</v>
      </c>
      <c r="F506" s="1">
        <v>40087</v>
      </c>
    </row>
    <row r="507" spans="1:6" x14ac:dyDescent="0.25">
      <c r="A507">
        <v>3110394</v>
      </c>
      <c r="B507" t="s">
        <v>519</v>
      </c>
      <c r="C507" t="str">
        <f>"9781934843123"</f>
        <v>9781934843123</v>
      </c>
      <c r="D507" t="str">
        <f>"9781618116734"</f>
        <v>9781618116734</v>
      </c>
      <c r="E507" t="s">
        <v>514</v>
      </c>
      <c r="F507" s="1">
        <v>39965</v>
      </c>
    </row>
    <row r="508" spans="1:6" x14ac:dyDescent="0.25">
      <c r="A508">
        <v>3110399</v>
      </c>
      <c r="B508" t="s">
        <v>520</v>
      </c>
      <c r="C508" t="str">
        <f>"9781934843895"</f>
        <v>9781934843895</v>
      </c>
      <c r="D508" t="str">
        <f>"9781618117014"</f>
        <v>9781618117014</v>
      </c>
      <c r="E508" t="s">
        <v>514</v>
      </c>
      <c r="F508" s="1">
        <v>40238</v>
      </c>
    </row>
    <row r="509" spans="1:6" x14ac:dyDescent="0.25">
      <c r="A509">
        <v>3110400</v>
      </c>
      <c r="B509" t="s">
        <v>521</v>
      </c>
      <c r="C509" t="str">
        <f>"9781934843406"</f>
        <v>9781934843406</v>
      </c>
      <c r="D509" t="str">
        <f>"9781618111364"</f>
        <v>9781618111364</v>
      </c>
      <c r="E509" t="s">
        <v>514</v>
      </c>
      <c r="F509" s="1">
        <v>39873</v>
      </c>
    </row>
    <row r="510" spans="1:6" x14ac:dyDescent="0.25">
      <c r="A510">
        <v>3110403</v>
      </c>
      <c r="B510" t="s">
        <v>522</v>
      </c>
      <c r="C510" t="str">
        <f>"9781934843178"</f>
        <v>9781934843178</v>
      </c>
      <c r="D510" t="str">
        <f>"9781618116789"</f>
        <v>9781618116789</v>
      </c>
      <c r="E510" t="s">
        <v>514</v>
      </c>
      <c r="F510" s="1">
        <v>40118</v>
      </c>
    </row>
    <row r="511" spans="1:6" x14ac:dyDescent="0.25">
      <c r="A511">
        <v>3110407</v>
      </c>
      <c r="B511" t="s">
        <v>523</v>
      </c>
      <c r="C511" t="str">
        <f>"9781934843086"</f>
        <v>9781934843086</v>
      </c>
      <c r="D511" t="str">
        <f>"9781618116970"</f>
        <v>9781618116970</v>
      </c>
      <c r="E511" t="s">
        <v>514</v>
      </c>
      <c r="F511" s="1">
        <v>39904</v>
      </c>
    </row>
    <row r="512" spans="1:6" x14ac:dyDescent="0.25">
      <c r="A512">
        <v>3110414</v>
      </c>
      <c r="B512" t="s">
        <v>524</v>
      </c>
      <c r="C512" t="str">
        <f>"9781934843390"</f>
        <v>9781934843390</v>
      </c>
      <c r="D512" t="str">
        <f>"9781618118523"</f>
        <v>9781618118523</v>
      </c>
      <c r="E512" t="s">
        <v>514</v>
      </c>
      <c r="F512" s="1">
        <v>40118</v>
      </c>
    </row>
    <row r="513" spans="1:6" x14ac:dyDescent="0.25">
      <c r="A513">
        <v>3110417</v>
      </c>
      <c r="B513" t="s">
        <v>525</v>
      </c>
      <c r="C513" t="str">
        <f>"9781936235193"</f>
        <v>9781936235193</v>
      </c>
      <c r="D513" t="str">
        <f>"9781618117069"</f>
        <v>9781618117069</v>
      </c>
      <c r="E513" t="s">
        <v>514</v>
      </c>
      <c r="F513" s="1">
        <v>40513</v>
      </c>
    </row>
    <row r="514" spans="1:6" x14ac:dyDescent="0.25">
      <c r="A514">
        <v>3110423</v>
      </c>
      <c r="B514" t="s">
        <v>526</v>
      </c>
      <c r="C514" t="str">
        <f>"9781936235186"</f>
        <v>9781936235186</v>
      </c>
      <c r="D514" t="str">
        <f>"9781618110039"</f>
        <v>9781618110039</v>
      </c>
      <c r="E514" t="s">
        <v>514</v>
      </c>
      <c r="F514" s="1">
        <v>40391</v>
      </c>
    </row>
    <row r="515" spans="1:6" x14ac:dyDescent="0.25">
      <c r="A515">
        <v>3110425</v>
      </c>
      <c r="B515" t="s">
        <v>527</v>
      </c>
      <c r="C515" t="str">
        <f>"9781934843796"</f>
        <v>9781934843796</v>
      </c>
      <c r="D515" t="str">
        <f>"9781618116901"</f>
        <v>9781618116901</v>
      </c>
      <c r="E515" t="s">
        <v>514</v>
      </c>
      <c r="F515" s="1">
        <v>40330</v>
      </c>
    </row>
    <row r="516" spans="1:6" x14ac:dyDescent="0.25">
      <c r="A516">
        <v>3110427</v>
      </c>
      <c r="B516" t="s">
        <v>528</v>
      </c>
      <c r="C516" t="str">
        <f>"9781934843819"</f>
        <v>9781934843819</v>
      </c>
      <c r="D516" t="str">
        <f>"9781618111289"</f>
        <v>9781618111289</v>
      </c>
      <c r="E516" t="s">
        <v>514</v>
      </c>
      <c r="F516" s="1">
        <v>40483</v>
      </c>
    </row>
    <row r="517" spans="1:6" x14ac:dyDescent="0.25">
      <c r="A517">
        <v>3110430</v>
      </c>
      <c r="B517" t="s">
        <v>529</v>
      </c>
      <c r="C517" t="str">
        <f>"9781936235179"</f>
        <v>9781936235179</v>
      </c>
      <c r="D517" t="str">
        <f>"9781618117007"</f>
        <v>9781618117007</v>
      </c>
      <c r="E517" t="s">
        <v>514</v>
      </c>
      <c r="F517" s="1">
        <v>40483</v>
      </c>
    </row>
    <row r="518" spans="1:6" x14ac:dyDescent="0.25">
      <c r="A518">
        <v>3110436</v>
      </c>
      <c r="B518" t="s">
        <v>530</v>
      </c>
      <c r="C518" t="str">
        <f>"9781936235117"</f>
        <v>9781936235117</v>
      </c>
      <c r="D518" t="str">
        <f>"9781618116871"</f>
        <v>9781618116871</v>
      </c>
      <c r="E518" t="s">
        <v>514</v>
      </c>
      <c r="F518" s="1">
        <v>40391</v>
      </c>
    </row>
    <row r="519" spans="1:6" x14ac:dyDescent="0.25">
      <c r="A519">
        <v>3110438</v>
      </c>
      <c r="B519" t="s">
        <v>531</v>
      </c>
      <c r="C519" t="str">
        <f>"9781934843888"</f>
        <v>9781934843888</v>
      </c>
      <c r="D519" t="str">
        <f>"9781618110206"</f>
        <v>9781618110206</v>
      </c>
      <c r="E519" t="s">
        <v>514</v>
      </c>
      <c r="F519" s="1">
        <v>40603</v>
      </c>
    </row>
    <row r="520" spans="1:6" x14ac:dyDescent="0.25">
      <c r="A520">
        <v>3110440</v>
      </c>
      <c r="B520" t="s">
        <v>532</v>
      </c>
      <c r="C520" t="str">
        <f>"9781936235537"</f>
        <v>9781936235537</v>
      </c>
      <c r="D520" t="str">
        <f>"9781618116826"</f>
        <v>9781618116826</v>
      </c>
      <c r="E520" t="s">
        <v>514</v>
      </c>
      <c r="F520" s="1">
        <v>40634</v>
      </c>
    </row>
    <row r="521" spans="1:6" x14ac:dyDescent="0.25">
      <c r="A521">
        <v>3110444</v>
      </c>
      <c r="B521" t="s">
        <v>533</v>
      </c>
      <c r="C521" t="str">
        <f>"9781936235216"</f>
        <v>9781936235216</v>
      </c>
      <c r="D521" t="str">
        <f>"9781618116888"</f>
        <v>9781618116888</v>
      </c>
      <c r="E521" t="s">
        <v>514</v>
      </c>
      <c r="F521" s="1">
        <v>40575</v>
      </c>
    </row>
    <row r="522" spans="1:6" x14ac:dyDescent="0.25">
      <c r="A522">
        <v>3110445</v>
      </c>
      <c r="B522" t="s">
        <v>534</v>
      </c>
      <c r="C522" t="str">
        <f>"9781934843451"</f>
        <v>9781934843451</v>
      </c>
      <c r="D522" t="str">
        <f>"9781618111357"</f>
        <v>9781618111357</v>
      </c>
      <c r="E522" t="s">
        <v>514</v>
      </c>
      <c r="F522" s="1">
        <v>40513</v>
      </c>
    </row>
    <row r="523" spans="1:6" x14ac:dyDescent="0.25">
      <c r="A523">
        <v>3110448</v>
      </c>
      <c r="B523" t="s">
        <v>535</v>
      </c>
      <c r="C523" t="str">
        <f>"9781936235247"</f>
        <v>9781936235247</v>
      </c>
      <c r="D523" t="str">
        <f>"9781618110602"</f>
        <v>9781618110602</v>
      </c>
      <c r="E523" t="s">
        <v>514</v>
      </c>
      <c r="F523" s="1">
        <v>40634</v>
      </c>
    </row>
    <row r="524" spans="1:6" x14ac:dyDescent="0.25">
      <c r="A524">
        <v>3110452</v>
      </c>
      <c r="B524" t="s">
        <v>536</v>
      </c>
      <c r="C524" t="str">
        <f>"9781934843116"</f>
        <v>9781934843116</v>
      </c>
      <c r="D524" t="str">
        <f>"9781618117045"</f>
        <v>9781618117045</v>
      </c>
      <c r="E524" t="s">
        <v>514</v>
      </c>
      <c r="F524" s="1">
        <v>40756</v>
      </c>
    </row>
    <row r="525" spans="1:6" x14ac:dyDescent="0.25">
      <c r="A525">
        <v>3110454</v>
      </c>
      <c r="B525" t="s">
        <v>537</v>
      </c>
      <c r="C525" t="str">
        <f>"9781936235506"</f>
        <v>9781936235506</v>
      </c>
      <c r="D525" t="str">
        <f>"9781618116710"</f>
        <v>9781618116710</v>
      </c>
      <c r="E525" t="s">
        <v>514</v>
      </c>
      <c r="F525" s="1">
        <v>40544</v>
      </c>
    </row>
    <row r="526" spans="1:6" x14ac:dyDescent="0.25">
      <c r="A526">
        <v>3110461</v>
      </c>
      <c r="B526" t="s">
        <v>538</v>
      </c>
      <c r="C526" t="str">
        <f>"9781936235667"</f>
        <v>9781936235667</v>
      </c>
      <c r="D526" t="str">
        <f>"9781618116857"</f>
        <v>9781618116857</v>
      </c>
      <c r="E526" t="s">
        <v>514</v>
      </c>
      <c r="F526" s="1">
        <v>40664</v>
      </c>
    </row>
    <row r="527" spans="1:6" x14ac:dyDescent="0.25">
      <c r="A527">
        <v>3110464</v>
      </c>
      <c r="B527" t="s">
        <v>539</v>
      </c>
      <c r="C527" t="str">
        <f>"9781936235391"</f>
        <v>9781936235391</v>
      </c>
      <c r="D527" t="str">
        <f>"9781618110411"</f>
        <v>9781618110411</v>
      </c>
      <c r="E527" t="s">
        <v>514</v>
      </c>
      <c r="F527" s="1">
        <v>40878</v>
      </c>
    </row>
    <row r="528" spans="1:6" x14ac:dyDescent="0.25">
      <c r="A528">
        <v>3110477</v>
      </c>
      <c r="B528" t="s">
        <v>540</v>
      </c>
      <c r="C528" t="str">
        <f>"9781934843482"</f>
        <v>9781934843482</v>
      </c>
      <c r="D528" t="str">
        <f>"9781618111135"</f>
        <v>9781618111135</v>
      </c>
      <c r="E528" t="s">
        <v>514</v>
      </c>
      <c r="F528" s="1">
        <v>40664</v>
      </c>
    </row>
    <row r="529" spans="1:6" x14ac:dyDescent="0.25">
      <c r="A529">
        <v>3110478</v>
      </c>
      <c r="B529" t="s">
        <v>541</v>
      </c>
      <c r="C529" t="str">
        <f>"9781934843383"</f>
        <v>9781934843383</v>
      </c>
      <c r="D529" t="str">
        <f>"9781618116918"</f>
        <v>9781618116918</v>
      </c>
      <c r="E529" t="s">
        <v>514</v>
      </c>
      <c r="F529" s="1">
        <v>40695</v>
      </c>
    </row>
    <row r="530" spans="1:6" x14ac:dyDescent="0.25">
      <c r="A530">
        <v>3110483</v>
      </c>
      <c r="B530" t="s">
        <v>542</v>
      </c>
      <c r="C530" t="str">
        <f>"9781936235766"</f>
        <v>9781936235766</v>
      </c>
      <c r="D530" t="str">
        <f>"9781618117076"</f>
        <v>9781618117076</v>
      </c>
      <c r="E530" t="s">
        <v>514</v>
      </c>
      <c r="F530" s="1">
        <v>41061</v>
      </c>
    </row>
    <row r="531" spans="1:6" x14ac:dyDescent="0.25">
      <c r="A531">
        <v>3110491</v>
      </c>
      <c r="B531" t="s">
        <v>543</v>
      </c>
      <c r="C531" t="str">
        <f>"9781936235957"</f>
        <v>9781936235957</v>
      </c>
      <c r="D531" t="str">
        <f>"9781618111456"</f>
        <v>9781618111456</v>
      </c>
      <c r="E531" t="s">
        <v>514</v>
      </c>
      <c r="F531" s="1">
        <v>41183</v>
      </c>
    </row>
    <row r="532" spans="1:6" x14ac:dyDescent="0.25">
      <c r="A532">
        <v>3110494</v>
      </c>
      <c r="B532" t="s">
        <v>544</v>
      </c>
      <c r="C532" t="str">
        <f>"9781618112026"</f>
        <v>9781618112026</v>
      </c>
      <c r="D532" t="str">
        <f>"9781618116932"</f>
        <v>9781618116932</v>
      </c>
      <c r="E532" t="s">
        <v>514</v>
      </c>
      <c r="F532" s="1">
        <v>41244</v>
      </c>
    </row>
    <row r="533" spans="1:6" x14ac:dyDescent="0.25">
      <c r="A533">
        <v>3110499</v>
      </c>
      <c r="B533" t="s">
        <v>545</v>
      </c>
      <c r="C533" t="str">
        <f>"9781936235490"</f>
        <v>9781936235490</v>
      </c>
      <c r="D533" t="str">
        <f>"9781618111241"</f>
        <v>9781618111241</v>
      </c>
      <c r="E533" t="s">
        <v>514</v>
      </c>
      <c r="F533" s="1">
        <v>41244</v>
      </c>
    </row>
    <row r="534" spans="1:6" x14ac:dyDescent="0.25">
      <c r="A534">
        <v>3110502</v>
      </c>
      <c r="B534" t="s">
        <v>546</v>
      </c>
      <c r="C534" t="str">
        <f>"9781936235568"</f>
        <v>9781936235568</v>
      </c>
      <c r="D534" t="str">
        <f>"9781618116772"</f>
        <v>9781618116772</v>
      </c>
      <c r="E534" t="s">
        <v>514</v>
      </c>
      <c r="F534" s="1">
        <v>41334</v>
      </c>
    </row>
    <row r="535" spans="1:6" x14ac:dyDescent="0.25">
      <c r="A535">
        <v>3110506</v>
      </c>
      <c r="B535" t="s">
        <v>547</v>
      </c>
      <c r="C535" t="str">
        <f>"9781618111746"</f>
        <v>9781618111746</v>
      </c>
      <c r="D535" t="str">
        <f>"9781618116956"</f>
        <v>9781618116956</v>
      </c>
      <c r="E535" t="s">
        <v>514</v>
      </c>
      <c r="F535" s="1">
        <v>41395</v>
      </c>
    </row>
    <row r="536" spans="1:6" x14ac:dyDescent="0.25">
      <c r="A536">
        <v>3110509</v>
      </c>
      <c r="B536" t="s">
        <v>548</v>
      </c>
      <c r="C536" t="str">
        <f>"9781936235636"</f>
        <v>9781936235636</v>
      </c>
      <c r="D536" t="str">
        <f>"9781618110817"</f>
        <v>9781618110817</v>
      </c>
      <c r="E536" t="s">
        <v>514</v>
      </c>
      <c r="F536" s="1">
        <v>41365</v>
      </c>
    </row>
    <row r="537" spans="1:6" x14ac:dyDescent="0.25">
      <c r="A537">
        <v>3110513</v>
      </c>
      <c r="B537" t="s">
        <v>549</v>
      </c>
      <c r="C537" t="str">
        <f>"9781618112149"</f>
        <v>9781618112149</v>
      </c>
      <c r="D537" t="str">
        <f>"9781618116994"</f>
        <v>9781618116994</v>
      </c>
      <c r="E537" t="s">
        <v>514</v>
      </c>
      <c r="F537" s="1">
        <v>41426</v>
      </c>
    </row>
    <row r="538" spans="1:6" x14ac:dyDescent="0.25">
      <c r="A538">
        <v>3110519</v>
      </c>
      <c r="B538" t="s">
        <v>550</v>
      </c>
      <c r="C538" t="str">
        <f>"9781618111739"</f>
        <v>9781618111739</v>
      </c>
      <c r="D538" t="str">
        <f>"9781618111951"</f>
        <v>9781618111951</v>
      </c>
      <c r="E538" t="s">
        <v>514</v>
      </c>
      <c r="F538" s="1">
        <v>41501</v>
      </c>
    </row>
    <row r="539" spans="1:6" x14ac:dyDescent="0.25">
      <c r="A539">
        <v>3110521</v>
      </c>
      <c r="B539" t="s">
        <v>551</v>
      </c>
      <c r="C539" t="str">
        <f>"9781618111586"</f>
        <v>9781618111586</v>
      </c>
      <c r="D539" t="str">
        <f>"9781618111807"</f>
        <v>9781618111807</v>
      </c>
      <c r="E539" t="s">
        <v>514</v>
      </c>
      <c r="F539" s="1">
        <v>41426</v>
      </c>
    </row>
    <row r="540" spans="1:6" x14ac:dyDescent="0.25">
      <c r="A540">
        <v>3110522</v>
      </c>
      <c r="B540" t="s">
        <v>552</v>
      </c>
      <c r="C540" t="str">
        <f>"9781618112675"</f>
        <v>9781618112675</v>
      </c>
      <c r="D540" t="str">
        <f>"9781618112682"</f>
        <v>9781618112682</v>
      </c>
      <c r="E540" t="s">
        <v>514</v>
      </c>
      <c r="F540" s="1">
        <v>41501</v>
      </c>
    </row>
    <row r="541" spans="1:6" x14ac:dyDescent="0.25">
      <c r="A541">
        <v>3110526</v>
      </c>
      <c r="B541" t="s">
        <v>553</v>
      </c>
      <c r="C541" t="str">
        <f>"9781618111616"</f>
        <v>9781618111616</v>
      </c>
      <c r="D541" t="str">
        <f>"9781618111838"</f>
        <v>9781618111838</v>
      </c>
      <c r="E541" t="s">
        <v>514</v>
      </c>
      <c r="F541" s="1">
        <v>41501</v>
      </c>
    </row>
    <row r="542" spans="1:6" x14ac:dyDescent="0.25">
      <c r="A542">
        <v>3110528</v>
      </c>
      <c r="B542" t="s">
        <v>554</v>
      </c>
      <c r="C542" t="str">
        <f>"9781618112804"</f>
        <v>9781618112804</v>
      </c>
      <c r="D542" t="str">
        <f>"9781618116925"</f>
        <v>9781618116925</v>
      </c>
      <c r="E542" t="s">
        <v>514</v>
      </c>
      <c r="F542" s="1">
        <v>41562</v>
      </c>
    </row>
    <row r="543" spans="1:6" x14ac:dyDescent="0.25">
      <c r="A543">
        <v>3110529</v>
      </c>
      <c r="B543" t="s">
        <v>555</v>
      </c>
      <c r="C543" t="str">
        <f>"9781936235612"</f>
        <v>9781936235612</v>
      </c>
      <c r="D543" t="str">
        <f>"9781618116895"</f>
        <v>9781618116895</v>
      </c>
      <c r="E543" t="s">
        <v>514</v>
      </c>
      <c r="F543" s="1">
        <v>41548</v>
      </c>
    </row>
    <row r="544" spans="1:6" x14ac:dyDescent="0.25">
      <c r="A544">
        <v>3110531</v>
      </c>
      <c r="B544" t="s">
        <v>556</v>
      </c>
      <c r="C544" t="str">
        <f>"9781618112583"</f>
        <v>9781618112583</v>
      </c>
      <c r="D544" t="str">
        <f>"9781618112590"</f>
        <v>9781618112590</v>
      </c>
      <c r="E544" t="s">
        <v>514</v>
      </c>
      <c r="F544" s="1">
        <v>41532</v>
      </c>
    </row>
    <row r="545" spans="1:6" x14ac:dyDescent="0.25">
      <c r="A545">
        <v>3110540</v>
      </c>
      <c r="B545" t="s">
        <v>557</v>
      </c>
      <c r="C545" t="str">
        <f>"9781618112866"</f>
        <v>9781618112866</v>
      </c>
      <c r="D545" t="str">
        <f>"9781618117021"</f>
        <v>9781618117021</v>
      </c>
      <c r="E545" t="s">
        <v>514</v>
      </c>
      <c r="F545" s="1">
        <v>41624</v>
      </c>
    </row>
    <row r="546" spans="1:6" x14ac:dyDescent="0.25">
      <c r="A546">
        <v>3110543</v>
      </c>
      <c r="B546" t="s">
        <v>558</v>
      </c>
      <c r="C546" t="str">
        <f>"9781936235414"</f>
        <v>9781936235414</v>
      </c>
      <c r="D546" t="str">
        <f>"9781618110695"</f>
        <v>9781618110695</v>
      </c>
      <c r="E546" t="s">
        <v>514</v>
      </c>
      <c r="F546" s="1">
        <v>41623</v>
      </c>
    </row>
    <row r="547" spans="1:6" x14ac:dyDescent="0.25">
      <c r="A547">
        <v>3110544</v>
      </c>
      <c r="B547" t="s">
        <v>559</v>
      </c>
      <c r="C547" t="str">
        <f>"9781618111678"</f>
        <v>9781618111678</v>
      </c>
      <c r="D547" t="str">
        <f>"9781618111890"</f>
        <v>9781618111890</v>
      </c>
      <c r="E547" t="s">
        <v>514</v>
      </c>
      <c r="F547" s="1">
        <v>41682</v>
      </c>
    </row>
    <row r="548" spans="1:6" x14ac:dyDescent="0.25">
      <c r="A548">
        <v>3110546</v>
      </c>
      <c r="B548" t="s">
        <v>560</v>
      </c>
      <c r="C548" t="str">
        <f>"9781618112880"</f>
        <v>9781618112880</v>
      </c>
      <c r="D548" t="str">
        <f>"9781618116949"</f>
        <v>9781618116949</v>
      </c>
      <c r="E548" t="s">
        <v>514</v>
      </c>
      <c r="F548" s="1">
        <v>41659</v>
      </c>
    </row>
    <row r="549" spans="1:6" x14ac:dyDescent="0.25">
      <c r="A549">
        <v>3110552</v>
      </c>
      <c r="B549" t="s">
        <v>561</v>
      </c>
      <c r="C549" t="str">
        <f>"9781618113511"</f>
        <v>9781618113511</v>
      </c>
      <c r="D549" t="str">
        <f>"9781618113627"</f>
        <v>9781618113627</v>
      </c>
      <c r="E549" t="s">
        <v>514</v>
      </c>
      <c r="F549" s="1">
        <v>41660</v>
      </c>
    </row>
    <row r="550" spans="1:6" x14ac:dyDescent="0.25">
      <c r="A550">
        <v>3110553</v>
      </c>
      <c r="B550" t="s">
        <v>562</v>
      </c>
      <c r="C550" t="str">
        <f>"9781618113474"</f>
        <v>9781618113474</v>
      </c>
      <c r="D550" t="str">
        <f>"9781618113580"</f>
        <v>9781618113580</v>
      </c>
      <c r="E550" t="s">
        <v>514</v>
      </c>
      <c r="F550" s="1">
        <v>41713</v>
      </c>
    </row>
    <row r="551" spans="1:6" x14ac:dyDescent="0.25">
      <c r="A551">
        <v>3110554</v>
      </c>
      <c r="B551" t="s">
        <v>563</v>
      </c>
      <c r="C551" t="str">
        <f>"9781618113139"</f>
        <v>9781618113139</v>
      </c>
      <c r="D551" t="str">
        <f>"9781618116864"</f>
        <v>9781618116864</v>
      </c>
      <c r="E551" t="s">
        <v>514</v>
      </c>
      <c r="F551" s="1">
        <v>41744</v>
      </c>
    </row>
    <row r="552" spans="1:6" x14ac:dyDescent="0.25">
      <c r="A552">
        <v>3110556</v>
      </c>
      <c r="B552" t="s">
        <v>564</v>
      </c>
      <c r="C552" t="str">
        <f>"9781618112088"</f>
        <v>9781618112088</v>
      </c>
      <c r="D552" t="str">
        <f>"9781618112095"</f>
        <v>9781618112095</v>
      </c>
      <c r="E552" t="s">
        <v>514</v>
      </c>
      <c r="F552" s="1">
        <v>41685</v>
      </c>
    </row>
    <row r="553" spans="1:6" x14ac:dyDescent="0.25">
      <c r="A553">
        <v>3110560</v>
      </c>
      <c r="B553" t="s">
        <v>565</v>
      </c>
      <c r="C553" t="str">
        <f>"9781618113467"</f>
        <v>9781618113467</v>
      </c>
      <c r="D553" t="str">
        <f>"9781618116697"</f>
        <v>9781618116697</v>
      </c>
      <c r="E553" t="s">
        <v>514</v>
      </c>
      <c r="F553" s="1">
        <v>41779</v>
      </c>
    </row>
    <row r="554" spans="1:6" x14ac:dyDescent="0.25">
      <c r="A554">
        <v>3110564</v>
      </c>
      <c r="B554" t="s">
        <v>566</v>
      </c>
      <c r="C554" t="str">
        <f>"9781618113986"</f>
        <v>9781618113986</v>
      </c>
      <c r="D554" t="str">
        <f>"9781618117083"</f>
        <v>9781618117083</v>
      </c>
      <c r="E554" t="s">
        <v>514</v>
      </c>
      <c r="F554" s="1">
        <v>41866</v>
      </c>
    </row>
    <row r="555" spans="1:6" x14ac:dyDescent="0.25">
      <c r="A555">
        <v>3110568</v>
      </c>
      <c r="B555" t="s">
        <v>567</v>
      </c>
      <c r="C555" t="str">
        <f>"9781618112781"</f>
        <v>9781618112781</v>
      </c>
      <c r="D555" t="str">
        <f>"9781618112798"</f>
        <v>9781618112798</v>
      </c>
      <c r="E555" t="s">
        <v>514</v>
      </c>
      <c r="F555" s="1">
        <v>41958</v>
      </c>
    </row>
    <row r="556" spans="1:6" x14ac:dyDescent="0.25">
      <c r="A556">
        <v>3110569</v>
      </c>
      <c r="B556" t="s">
        <v>568</v>
      </c>
      <c r="C556" t="str">
        <f>"9781618113504"</f>
        <v>9781618113504</v>
      </c>
      <c r="D556" t="str">
        <f>"9781618116963"</f>
        <v>9781618116963</v>
      </c>
      <c r="E556" t="s">
        <v>514</v>
      </c>
      <c r="F556" s="1">
        <v>41958</v>
      </c>
    </row>
    <row r="557" spans="1:6" x14ac:dyDescent="0.25">
      <c r="A557">
        <v>3119958</v>
      </c>
      <c r="B557" t="s">
        <v>569</v>
      </c>
      <c r="C557" t="str">
        <f>"9781780401089"</f>
        <v>9781780401089</v>
      </c>
      <c r="D557" t="str">
        <f>"9781780401096"</f>
        <v>9781780401096</v>
      </c>
      <c r="E557" t="s">
        <v>570</v>
      </c>
      <c r="F557" s="1">
        <v>41135</v>
      </c>
    </row>
    <row r="558" spans="1:6" x14ac:dyDescent="0.25">
      <c r="A558">
        <v>3120913</v>
      </c>
      <c r="B558" t="s">
        <v>571</v>
      </c>
      <c r="C558" t="str">
        <f>"9781900222099"</f>
        <v>9781900222099</v>
      </c>
      <c r="D558" t="str">
        <f>"9781780403038"</f>
        <v>9781780403038</v>
      </c>
      <c r="E558" t="s">
        <v>570</v>
      </c>
      <c r="F558" s="1">
        <v>36526</v>
      </c>
    </row>
    <row r="559" spans="1:6" x14ac:dyDescent="0.25">
      <c r="A559">
        <v>3121230</v>
      </c>
      <c r="B559" t="s">
        <v>572</v>
      </c>
      <c r="C559" t="str">
        <f>"9781780400440"</f>
        <v>9781780400440</v>
      </c>
      <c r="D559" t="str">
        <f>"9781780400457"</f>
        <v>9781780400457</v>
      </c>
      <c r="E559" t="s">
        <v>570</v>
      </c>
      <c r="F559" s="1">
        <v>41865</v>
      </c>
    </row>
    <row r="560" spans="1:6" x14ac:dyDescent="0.25">
      <c r="A560">
        <v>3121255</v>
      </c>
      <c r="B560" t="s">
        <v>573</v>
      </c>
      <c r="C560" t="str">
        <f>"9781843391463"</f>
        <v>9781843391463</v>
      </c>
      <c r="D560" t="str">
        <f>"9781780401171"</f>
        <v>9781780401171</v>
      </c>
      <c r="E560" t="s">
        <v>570</v>
      </c>
      <c r="F560" s="1">
        <v>41897</v>
      </c>
    </row>
    <row r="561" spans="1:6" x14ac:dyDescent="0.25">
      <c r="A561">
        <v>3121365</v>
      </c>
      <c r="B561" t="s">
        <v>574</v>
      </c>
      <c r="C561" t="str">
        <f>"9781780404639"</f>
        <v>9781780404639</v>
      </c>
      <c r="D561" t="str">
        <f>"9781780404660"</f>
        <v>9781780404660</v>
      </c>
      <c r="E561" t="s">
        <v>570</v>
      </c>
      <c r="F561" s="1">
        <v>42050</v>
      </c>
    </row>
    <row r="562" spans="1:6" x14ac:dyDescent="0.25">
      <c r="A562">
        <v>3137295</v>
      </c>
      <c r="B562" t="s">
        <v>575</v>
      </c>
      <c r="C562" t="str">
        <f>"9789639776555"</f>
        <v>9789639776555</v>
      </c>
      <c r="D562" t="str">
        <f>"9786155211812"</f>
        <v>9786155211812</v>
      </c>
      <c r="E562" t="s">
        <v>576</v>
      </c>
      <c r="F562" s="1">
        <v>40127</v>
      </c>
    </row>
    <row r="563" spans="1:6" x14ac:dyDescent="0.25">
      <c r="A563">
        <v>3340019</v>
      </c>
      <c r="B563" t="s">
        <v>577</v>
      </c>
      <c r="C563" t="str">
        <f>"9780975747582"</f>
        <v>9780975747582</v>
      </c>
      <c r="D563" t="str">
        <f>"9780975747599"</f>
        <v>9780975747599</v>
      </c>
      <c r="E563" t="s">
        <v>578</v>
      </c>
      <c r="F563" s="1">
        <v>39022</v>
      </c>
    </row>
    <row r="564" spans="1:6" x14ac:dyDescent="0.25">
      <c r="A564">
        <v>3384091</v>
      </c>
      <c r="B564" t="s">
        <v>579</v>
      </c>
      <c r="C564" t="str">
        <f>"9781909254367"</f>
        <v>9781909254367</v>
      </c>
      <c r="D564" t="str">
        <f>"9781909254374"</f>
        <v>9781909254374</v>
      </c>
      <c r="E564" t="s">
        <v>580</v>
      </c>
      <c r="F564" s="1">
        <v>41306</v>
      </c>
    </row>
    <row r="565" spans="1:6" x14ac:dyDescent="0.25">
      <c r="A565">
        <v>3384092</v>
      </c>
      <c r="B565" t="s">
        <v>581</v>
      </c>
      <c r="C565" t="str">
        <f>"9781909254459"</f>
        <v>9781909254459</v>
      </c>
      <c r="D565" t="str">
        <f>"9781909254466"</f>
        <v>9781909254466</v>
      </c>
      <c r="E565" t="s">
        <v>580</v>
      </c>
      <c r="F565" s="1">
        <v>41365</v>
      </c>
    </row>
    <row r="566" spans="1:6" x14ac:dyDescent="0.25">
      <c r="A566">
        <v>3384093</v>
      </c>
      <c r="B566" t="s">
        <v>582</v>
      </c>
      <c r="C566" t="str">
        <f>"9781909254114"</f>
        <v>9781909254114</v>
      </c>
      <c r="D566" t="str">
        <f>"9781909254121"</f>
        <v>9781909254121</v>
      </c>
      <c r="E566" t="s">
        <v>580</v>
      </c>
      <c r="F566" s="1">
        <v>41214</v>
      </c>
    </row>
    <row r="567" spans="1:6" x14ac:dyDescent="0.25">
      <c r="A567">
        <v>3384094</v>
      </c>
      <c r="B567" t="s">
        <v>583</v>
      </c>
      <c r="C567" t="str">
        <f>"9781906924256"</f>
        <v>9781906924256</v>
      </c>
      <c r="D567" t="str">
        <f>"9781906924263"</f>
        <v>9781906924263</v>
      </c>
      <c r="E567" t="s">
        <v>580</v>
      </c>
      <c r="F567" s="1">
        <v>40360</v>
      </c>
    </row>
    <row r="568" spans="1:6" x14ac:dyDescent="0.25">
      <c r="A568">
        <v>3384095</v>
      </c>
      <c r="B568" t="s">
        <v>584</v>
      </c>
      <c r="C568" t="str">
        <f>"9781906924287"</f>
        <v>9781906924287</v>
      </c>
      <c r="D568" t="str">
        <f>"9781906924294"</f>
        <v>9781906924294</v>
      </c>
      <c r="E568" t="s">
        <v>580</v>
      </c>
      <c r="F568" s="1">
        <v>40452</v>
      </c>
    </row>
    <row r="569" spans="1:6" x14ac:dyDescent="0.25">
      <c r="A569">
        <v>3384096</v>
      </c>
      <c r="B569" t="s">
        <v>585</v>
      </c>
      <c r="C569" t="str">
        <f>"9781906924218"</f>
        <v>9781906924218</v>
      </c>
      <c r="D569" t="str">
        <f>"9781906924232"</f>
        <v>9781906924232</v>
      </c>
      <c r="E569" t="s">
        <v>580</v>
      </c>
      <c r="F569" s="1">
        <v>40269</v>
      </c>
    </row>
    <row r="570" spans="1:6" x14ac:dyDescent="0.25">
      <c r="A570">
        <v>3384097</v>
      </c>
      <c r="B570" t="s">
        <v>586</v>
      </c>
      <c r="C570" t="str">
        <f>"9781909254268"</f>
        <v>9781909254268</v>
      </c>
      <c r="D570" t="str">
        <f>"9781909254275"</f>
        <v>9781909254275</v>
      </c>
      <c r="E570" t="s">
        <v>580</v>
      </c>
      <c r="F570" s="1">
        <v>41091</v>
      </c>
    </row>
    <row r="571" spans="1:6" x14ac:dyDescent="0.25">
      <c r="A571">
        <v>3384098</v>
      </c>
      <c r="B571" t="s">
        <v>587</v>
      </c>
      <c r="C571" t="str">
        <f>"9781906924348"</f>
        <v>9781906924348</v>
      </c>
      <c r="D571" t="str">
        <f>"9781906924355"</f>
        <v>9781906924355</v>
      </c>
      <c r="E571" t="s">
        <v>580</v>
      </c>
      <c r="F571" s="1">
        <v>40603</v>
      </c>
    </row>
    <row r="572" spans="1:6" x14ac:dyDescent="0.25">
      <c r="A572">
        <v>3384099</v>
      </c>
      <c r="B572" t="s">
        <v>588</v>
      </c>
      <c r="C572" t="str">
        <f>"9781906924317"</f>
        <v>9781906924317</v>
      </c>
      <c r="D572" t="str">
        <f>"9781906924324"</f>
        <v>9781906924324</v>
      </c>
      <c r="E572" t="s">
        <v>580</v>
      </c>
      <c r="F572" s="1">
        <v>40513</v>
      </c>
    </row>
    <row r="573" spans="1:6" x14ac:dyDescent="0.25">
      <c r="A573">
        <v>3384100</v>
      </c>
      <c r="B573" t="s">
        <v>589</v>
      </c>
      <c r="C573" t="str">
        <f>"9781906924881"</f>
        <v>9781906924881</v>
      </c>
      <c r="D573" t="str">
        <f>"9781906924898"</f>
        <v>9781906924898</v>
      </c>
      <c r="E573" t="s">
        <v>580</v>
      </c>
      <c r="F573" s="1">
        <v>41091</v>
      </c>
    </row>
    <row r="574" spans="1:6" x14ac:dyDescent="0.25">
      <c r="A574">
        <v>3384101</v>
      </c>
      <c r="B574" t="s">
        <v>590</v>
      </c>
      <c r="C574" t="str">
        <f>"9781906924461"</f>
        <v>9781906924461</v>
      </c>
      <c r="D574" t="str">
        <f>"9781906924478"</f>
        <v>9781906924478</v>
      </c>
      <c r="E574" t="s">
        <v>580</v>
      </c>
      <c r="F574" s="1">
        <v>40994</v>
      </c>
    </row>
    <row r="575" spans="1:6" x14ac:dyDescent="0.25">
      <c r="A575">
        <v>3384102</v>
      </c>
      <c r="B575" t="s">
        <v>591</v>
      </c>
      <c r="C575" t="str">
        <f>"9781906924430"</f>
        <v>9781906924430</v>
      </c>
      <c r="D575" t="str">
        <f>"9781906924447"</f>
        <v>9781906924447</v>
      </c>
      <c r="E575" t="s">
        <v>580</v>
      </c>
      <c r="F575" s="1">
        <v>41456</v>
      </c>
    </row>
    <row r="576" spans="1:6" x14ac:dyDescent="0.25">
      <c r="A576">
        <v>3384103</v>
      </c>
      <c r="B576" t="s">
        <v>592</v>
      </c>
      <c r="C576" t="str">
        <f>"9781906924409"</f>
        <v>9781906924409</v>
      </c>
      <c r="D576" t="str">
        <f>"9781906924416"</f>
        <v>9781906924416</v>
      </c>
      <c r="E576" t="s">
        <v>580</v>
      </c>
      <c r="F576" s="1">
        <v>40695</v>
      </c>
    </row>
    <row r="577" spans="1:6" x14ac:dyDescent="0.25">
      <c r="A577">
        <v>3384104</v>
      </c>
      <c r="B577" t="s">
        <v>593</v>
      </c>
      <c r="C577" t="str">
        <f>"9781906924577"</f>
        <v>9781906924577</v>
      </c>
      <c r="D577" t="str">
        <f>"9781906924584"</f>
        <v>9781906924584</v>
      </c>
      <c r="E577" t="s">
        <v>580</v>
      </c>
      <c r="F577" s="1">
        <v>40848</v>
      </c>
    </row>
    <row r="578" spans="1:6" x14ac:dyDescent="0.25">
      <c r="A578">
        <v>3384105</v>
      </c>
      <c r="B578" t="s">
        <v>594</v>
      </c>
      <c r="C578" t="str">
        <f>"9781906924546"</f>
        <v>9781906924546</v>
      </c>
      <c r="D578" t="str">
        <f>"9781906924553"</f>
        <v>9781906924553</v>
      </c>
      <c r="E578" t="s">
        <v>580</v>
      </c>
      <c r="F578" s="1">
        <v>40848</v>
      </c>
    </row>
    <row r="579" spans="1:6" x14ac:dyDescent="0.25">
      <c r="A579">
        <v>3384106</v>
      </c>
      <c r="B579" t="s">
        <v>595</v>
      </c>
      <c r="C579" t="str">
        <f>"9781906924515"</f>
        <v>9781906924515</v>
      </c>
      <c r="D579" t="str">
        <f>"9781906924522"</f>
        <v>9781906924522</v>
      </c>
      <c r="E579" t="s">
        <v>580</v>
      </c>
      <c r="F579" s="1">
        <v>40787</v>
      </c>
    </row>
    <row r="580" spans="1:6" x14ac:dyDescent="0.25">
      <c r="A580">
        <v>3384107</v>
      </c>
      <c r="B580" t="s">
        <v>596</v>
      </c>
      <c r="C580" t="str">
        <f>"9781906924669"</f>
        <v>9781906924669</v>
      </c>
      <c r="D580" t="str">
        <f>"9781906924676"</f>
        <v>9781906924676</v>
      </c>
      <c r="E580" t="s">
        <v>580</v>
      </c>
      <c r="F580" s="1">
        <v>40940</v>
      </c>
    </row>
    <row r="581" spans="1:6" x14ac:dyDescent="0.25">
      <c r="A581">
        <v>3384108</v>
      </c>
      <c r="B581" t="s">
        <v>597</v>
      </c>
      <c r="C581" t="str">
        <f>"9781909254213"</f>
        <v>9781909254213</v>
      </c>
      <c r="D581" t="str">
        <f>"9781909254220"</f>
        <v>9781909254220</v>
      </c>
      <c r="E581" t="s">
        <v>580</v>
      </c>
      <c r="F581" s="1">
        <v>41275</v>
      </c>
    </row>
    <row r="582" spans="1:6" x14ac:dyDescent="0.25">
      <c r="A582">
        <v>3384109</v>
      </c>
      <c r="B582" t="s">
        <v>598</v>
      </c>
      <c r="C582" t="str">
        <f>"9781906924713"</f>
        <v>9781906924713</v>
      </c>
      <c r="D582" t="str">
        <f>"9781906924720"</f>
        <v>9781906924720</v>
      </c>
      <c r="E582" t="s">
        <v>580</v>
      </c>
      <c r="F582" s="1">
        <v>28040</v>
      </c>
    </row>
    <row r="583" spans="1:6" x14ac:dyDescent="0.25">
      <c r="A583">
        <v>3384110</v>
      </c>
      <c r="B583" t="s">
        <v>599</v>
      </c>
      <c r="C583" t="str">
        <f>"9781906924133"</f>
        <v>9781906924133</v>
      </c>
      <c r="D583" t="str">
        <f>"9781906924140"</f>
        <v>9781906924140</v>
      </c>
      <c r="E583" t="s">
        <v>580</v>
      </c>
      <c r="F583" s="1">
        <v>40179</v>
      </c>
    </row>
    <row r="584" spans="1:6" x14ac:dyDescent="0.25">
      <c r="A584">
        <v>3384111</v>
      </c>
      <c r="B584" t="s">
        <v>600</v>
      </c>
      <c r="C584" t="str">
        <f>"9781906924164"</f>
        <v>9781906924164</v>
      </c>
      <c r="D584" t="str">
        <f>"9781906924171"</f>
        <v>9781906924171</v>
      </c>
      <c r="E584" t="s">
        <v>580</v>
      </c>
      <c r="F584" s="1">
        <v>40360</v>
      </c>
    </row>
    <row r="585" spans="1:6" x14ac:dyDescent="0.25">
      <c r="A585">
        <v>3384112</v>
      </c>
      <c r="B585" t="s">
        <v>601</v>
      </c>
      <c r="C585" t="str">
        <f>"9781906924195"</f>
        <v>9781906924195</v>
      </c>
      <c r="D585" t="str">
        <f>"9781906924201"</f>
        <v>9781906924201</v>
      </c>
      <c r="E585" t="s">
        <v>580</v>
      </c>
      <c r="F585" s="1">
        <v>40330</v>
      </c>
    </row>
    <row r="586" spans="1:6" x14ac:dyDescent="0.25">
      <c r="A586">
        <v>3384113</v>
      </c>
      <c r="B586" t="s">
        <v>602</v>
      </c>
      <c r="C586" t="str">
        <f>"9781906924041"</f>
        <v>9781906924041</v>
      </c>
      <c r="D586" t="str">
        <f>"9781906924058"</f>
        <v>9781906924058</v>
      </c>
      <c r="E586" t="s">
        <v>580</v>
      </c>
      <c r="F586" s="1">
        <v>30413</v>
      </c>
    </row>
    <row r="587" spans="1:6" x14ac:dyDescent="0.25">
      <c r="A587">
        <v>3384114</v>
      </c>
      <c r="B587" t="s">
        <v>603</v>
      </c>
      <c r="C587" t="str">
        <f>"9781906924072"</f>
        <v>9781906924072</v>
      </c>
      <c r="D587" t="str">
        <f>"9781906924089"</f>
        <v>9781906924089</v>
      </c>
      <c r="E587" t="s">
        <v>580</v>
      </c>
      <c r="F587" s="1">
        <v>39923</v>
      </c>
    </row>
    <row r="588" spans="1:6" x14ac:dyDescent="0.25">
      <c r="A588">
        <v>3384115</v>
      </c>
      <c r="B588" t="s">
        <v>604</v>
      </c>
      <c r="C588" t="str">
        <f>"9781906924010"</f>
        <v>9781906924010</v>
      </c>
      <c r="D588" t="str">
        <f>"9781906924027"</f>
        <v>9781906924027</v>
      </c>
      <c r="E588" t="s">
        <v>580</v>
      </c>
      <c r="F588" s="1">
        <v>39753</v>
      </c>
    </row>
    <row r="589" spans="1:6" x14ac:dyDescent="0.25">
      <c r="A589">
        <v>3384116</v>
      </c>
      <c r="B589" t="s">
        <v>605</v>
      </c>
      <c r="C589" t="str">
        <f>"9781906924102"</f>
        <v>9781906924102</v>
      </c>
      <c r="D589" t="str">
        <f>"9781906924119"</f>
        <v>9781906924119</v>
      </c>
      <c r="E589" t="s">
        <v>580</v>
      </c>
      <c r="F589" s="1">
        <v>40087</v>
      </c>
    </row>
    <row r="590" spans="1:6" x14ac:dyDescent="0.25">
      <c r="A590">
        <v>3384117</v>
      </c>
      <c r="B590" t="s">
        <v>606</v>
      </c>
      <c r="C590" t="str">
        <f>"9781909254169"</f>
        <v>9781909254169</v>
      </c>
      <c r="D590" t="str">
        <f>"9781909254176"</f>
        <v>9781909254176</v>
      </c>
      <c r="E590" t="s">
        <v>580</v>
      </c>
      <c r="F590" s="1">
        <v>41214</v>
      </c>
    </row>
    <row r="591" spans="1:6" x14ac:dyDescent="0.25">
      <c r="A591">
        <v>3384118</v>
      </c>
      <c r="B591" t="s">
        <v>607</v>
      </c>
      <c r="C591" t="str">
        <f>"9781906924935"</f>
        <v>9781906924935</v>
      </c>
      <c r="D591" t="str">
        <f>"9781906924942"</f>
        <v>9781906924942</v>
      </c>
      <c r="E591" t="s">
        <v>580</v>
      </c>
      <c r="F591" s="1">
        <v>41153</v>
      </c>
    </row>
    <row r="592" spans="1:6" x14ac:dyDescent="0.25">
      <c r="A592">
        <v>3384119</v>
      </c>
      <c r="B592" t="s">
        <v>608</v>
      </c>
      <c r="C592" t="str">
        <f>"9781906924782"</f>
        <v>9781906924782</v>
      </c>
      <c r="D592" t="str">
        <f>"9781906924799"</f>
        <v>9781906924799</v>
      </c>
      <c r="E592" t="s">
        <v>580</v>
      </c>
      <c r="F592" s="1">
        <v>41000</v>
      </c>
    </row>
    <row r="593" spans="1:6" x14ac:dyDescent="0.25">
      <c r="A593">
        <v>3384120</v>
      </c>
      <c r="B593" t="s">
        <v>609</v>
      </c>
      <c r="C593" t="str">
        <f>"9781906924379"</f>
        <v>9781906924379</v>
      </c>
      <c r="D593" t="str">
        <f>"9781906924386"</f>
        <v>9781906924386</v>
      </c>
      <c r="E593" t="s">
        <v>580</v>
      </c>
      <c r="F593" s="1">
        <v>40664</v>
      </c>
    </row>
    <row r="594" spans="1:6" x14ac:dyDescent="0.25">
      <c r="A594">
        <v>3384121</v>
      </c>
      <c r="B594" t="s">
        <v>610</v>
      </c>
      <c r="C594" t="str">
        <f>"9781909254602"</f>
        <v>9781909254602</v>
      </c>
      <c r="D594" t="str">
        <f>"9781909254619"</f>
        <v>9781909254619</v>
      </c>
      <c r="E594" t="s">
        <v>580</v>
      </c>
      <c r="F594" s="1">
        <v>41456</v>
      </c>
    </row>
    <row r="595" spans="1:6" x14ac:dyDescent="0.25">
      <c r="A595">
        <v>3384122</v>
      </c>
      <c r="B595" t="s">
        <v>611</v>
      </c>
      <c r="C595" t="str">
        <f>"9781909254763"</f>
        <v>9781909254763</v>
      </c>
      <c r="D595" t="str">
        <f>"9781909254770"</f>
        <v>9781909254770</v>
      </c>
      <c r="E595" t="s">
        <v>580</v>
      </c>
      <c r="F595" s="1">
        <v>41640</v>
      </c>
    </row>
    <row r="596" spans="1:6" x14ac:dyDescent="0.25">
      <c r="A596">
        <v>3384123</v>
      </c>
      <c r="B596" t="s">
        <v>612</v>
      </c>
    </row>
    <row r="597" spans="1:6" x14ac:dyDescent="0.25">
      <c r="A597">
        <v>3384124</v>
      </c>
      <c r="B597" t="s">
        <v>613</v>
      </c>
      <c r="C597" t="str">
        <f>"9781909254640"</f>
        <v>9781909254640</v>
      </c>
      <c r="D597" t="str">
        <f>"9781909254411"</f>
        <v>9781909254411</v>
      </c>
      <c r="E597" t="s">
        <v>580</v>
      </c>
      <c r="F597" s="1">
        <v>41579</v>
      </c>
    </row>
    <row r="598" spans="1:6" x14ac:dyDescent="0.25">
      <c r="A598">
        <v>3384125</v>
      </c>
      <c r="B598" t="s">
        <v>614</v>
      </c>
      <c r="C598" t="str">
        <f>"9781783740130"</f>
        <v>9781783740130</v>
      </c>
      <c r="D598" t="str">
        <f>"9781783740147"</f>
        <v>9781783740147</v>
      </c>
      <c r="E598" t="s">
        <v>580</v>
      </c>
      <c r="F598" s="1">
        <v>41671</v>
      </c>
    </row>
    <row r="599" spans="1:6" x14ac:dyDescent="0.25">
      <c r="A599">
        <v>3384126</v>
      </c>
      <c r="B599" t="s">
        <v>615</v>
      </c>
      <c r="C599" t="str">
        <f>"9781783740017"</f>
        <v>9781783740017</v>
      </c>
      <c r="D599" t="str">
        <f>"9781783740024"</f>
        <v>9781783740024</v>
      </c>
      <c r="E599" t="s">
        <v>580</v>
      </c>
      <c r="F599" s="1">
        <v>41518</v>
      </c>
    </row>
    <row r="600" spans="1:6" x14ac:dyDescent="0.25">
      <c r="A600">
        <v>3384127</v>
      </c>
      <c r="B600" t="s">
        <v>616</v>
      </c>
      <c r="C600" t="str">
        <f>"9781783740185"</f>
        <v>9781783740185</v>
      </c>
      <c r="D600" t="str">
        <f>"9781783740192"</f>
        <v>9781783740192</v>
      </c>
      <c r="E600" t="s">
        <v>580</v>
      </c>
      <c r="F600" s="1">
        <v>41609</v>
      </c>
    </row>
    <row r="601" spans="1:6" x14ac:dyDescent="0.25">
      <c r="A601">
        <v>3384128</v>
      </c>
      <c r="B601" t="s">
        <v>617</v>
      </c>
      <c r="C601" t="str">
        <f>"9781909254060"</f>
        <v>9781909254060</v>
      </c>
      <c r="D601" t="str">
        <f>"9781909254077"</f>
        <v>9781909254077</v>
      </c>
      <c r="E601" t="s">
        <v>580</v>
      </c>
      <c r="F601" s="1">
        <v>41548</v>
      </c>
    </row>
    <row r="602" spans="1:6" x14ac:dyDescent="0.25">
      <c r="A602">
        <v>3384129</v>
      </c>
      <c r="B602" t="s">
        <v>618</v>
      </c>
      <c r="C602" t="str">
        <f>"9781909254015"</f>
        <v>9781909254015</v>
      </c>
      <c r="D602" t="str">
        <f>"9781909254022"</f>
        <v>9781909254022</v>
      </c>
      <c r="E602" t="s">
        <v>580</v>
      </c>
      <c r="F602" s="1">
        <v>41456</v>
      </c>
    </row>
    <row r="603" spans="1:6" x14ac:dyDescent="0.25">
      <c r="A603">
        <v>3384130</v>
      </c>
      <c r="B603" t="s">
        <v>619</v>
      </c>
      <c r="C603" t="str">
        <f>"9781909254312"</f>
        <v>9781909254312</v>
      </c>
      <c r="D603" t="str">
        <f>"9781909254329"</f>
        <v>9781909254329</v>
      </c>
      <c r="E603" t="s">
        <v>580</v>
      </c>
      <c r="F603" s="1">
        <v>41395</v>
      </c>
    </row>
    <row r="604" spans="1:6" x14ac:dyDescent="0.25">
      <c r="A604">
        <v>3384131</v>
      </c>
      <c r="B604" t="s">
        <v>620</v>
      </c>
      <c r="C604" t="str">
        <f>"9781783740383"</f>
        <v>9781783740383</v>
      </c>
      <c r="D604" t="str">
        <f>"9781783740390"</f>
        <v>9781783740390</v>
      </c>
      <c r="E604" t="s">
        <v>580</v>
      </c>
      <c r="F604" s="1">
        <v>41852</v>
      </c>
    </row>
    <row r="605" spans="1:6" x14ac:dyDescent="0.25">
      <c r="A605">
        <v>3384132</v>
      </c>
      <c r="B605" t="s">
        <v>621</v>
      </c>
      <c r="C605" t="str">
        <f>"9781783740581"</f>
        <v>9781783740581</v>
      </c>
      <c r="D605" t="str">
        <f>"9781783740598"</f>
        <v>9781783740598</v>
      </c>
      <c r="E605" t="s">
        <v>580</v>
      </c>
      <c r="F605" s="1">
        <v>41730</v>
      </c>
    </row>
    <row r="606" spans="1:6" x14ac:dyDescent="0.25">
      <c r="A606">
        <v>3384133</v>
      </c>
      <c r="B606" t="s">
        <v>622</v>
      </c>
      <c r="C606" t="str">
        <f>"9781783740789"</f>
        <v>9781783740789</v>
      </c>
      <c r="D606" t="str">
        <f>"9781783740796"</f>
        <v>9781783740796</v>
      </c>
      <c r="E606" t="s">
        <v>580</v>
      </c>
      <c r="F606" s="1">
        <v>41886</v>
      </c>
    </row>
    <row r="607" spans="1:6" x14ac:dyDescent="0.25">
      <c r="A607">
        <v>3384134</v>
      </c>
      <c r="B607" t="s">
        <v>623</v>
      </c>
      <c r="C607" t="str">
        <f>"9781783740086"</f>
        <v>9781783740086</v>
      </c>
      <c r="D607" t="str">
        <f>"9781783740093"</f>
        <v>9781783740093</v>
      </c>
      <c r="E607" t="s">
        <v>580</v>
      </c>
      <c r="F607" s="1">
        <v>41548</v>
      </c>
    </row>
    <row r="608" spans="1:6" x14ac:dyDescent="0.25">
      <c r="A608">
        <v>3384135</v>
      </c>
      <c r="B608" t="s">
        <v>624</v>
      </c>
      <c r="C608" t="str">
        <f>"9781783740284"</f>
        <v>9781783740284</v>
      </c>
      <c r="D608" t="str">
        <f>"9781783740291"</f>
        <v>9781783740291</v>
      </c>
      <c r="E608" t="s">
        <v>580</v>
      </c>
      <c r="F608" s="1">
        <v>41699</v>
      </c>
    </row>
    <row r="609" spans="1:6" x14ac:dyDescent="0.25">
      <c r="A609">
        <v>3398779</v>
      </c>
      <c r="B609" t="s">
        <v>625</v>
      </c>
      <c r="C609" t="str">
        <f>"9782759208579"</f>
        <v>9782759208579</v>
      </c>
      <c r="D609" t="str">
        <f>"9782759208586"</f>
        <v>9782759208586</v>
      </c>
      <c r="E609" t="s">
        <v>626</v>
      </c>
      <c r="F609" s="1">
        <v>40407</v>
      </c>
    </row>
    <row r="610" spans="1:6" x14ac:dyDescent="0.25">
      <c r="A610">
        <v>3398815</v>
      </c>
      <c r="B610" t="s">
        <v>627</v>
      </c>
      <c r="C610" t="str">
        <f>"9782759210305"</f>
        <v>9782759210305</v>
      </c>
      <c r="D610" t="str">
        <f>"9782759210312"</f>
        <v>9782759210312</v>
      </c>
      <c r="E610" t="s">
        <v>626</v>
      </c>
      <c r="F610" s="1">
        <v>40898</v>
      </c>
    </row>
    <row r="611" spans="1:6" x14ac:dyDescent="0.25">
      <c r="A611">
        <v>3398850</v>
      </c>
      <c r="B611" t="s">
        <v>628</v>
      </c>
      <c r="C611" t="str">
        <f>"9782759210398"</f>
        <v>9782759210398</v>
      </c>
      <c r="D611" t="str">
        <f>"9782759210404"</f>
        <v>9782759210404</v>
      </c>
      <c r="E611" t="s">
        <v>626</v>
      </c>
      <c r="F611" s="1">
        <v>40709</v>
      </c>
    </row>
    <row r="612" spans="1:6" x14ac:dyDescent="0.25">
      <c r="A612">
        <v>3398910</v>
      </c>
      <c r="B612" t="s">
        <v>629</v>
      </c>
      <c r="C612" t="str">
        <f>"9782853624312"</f>
        <v>9782853624312</v>
      </c>
      <c r="D612" t="str">
        <f>"9782759207077"</f>
        <v>9782759207077</v>
      </c>
      <c r="E612" t="s">
        <v>626</v>
      </c>
      <c r="F612" s="1">
        <v>34700</v>
      </c>
    </row>
    <row r="613" spans="1:6" x14ac:dyDescent="0.25">
      <c r="A613">
        <v>3398913</v>
      </c>
      <c r="B613" t="s">
        <v>630</v>
      </c>
      <c r="C613" t="str">
        <f>"9782853625500"</f>
        <v>9782853625500</v>
      </c>
      <c r="D613" t="str">
        <f>"9782759207244"</f>
        <v>9782759207244</v>
      </c>
      <c r="E613" t="s">
        <v>626</v>
      </c>
      <c r="F613" s="1">
        <v>36526</v>
      </c>
    </row>
    <row r="614" spans="1:6" x14ac:dyDescent="0.25">
      <c r="A614">
        <v>3398914</v>
      </c>
      <c r="B614" t="s">
        <v>631</v>
      </c>
      <c r="C614" t="str">
        <f>"9782853624084"</f>
        <v>9782853624084</v>
      </c>
      <c r="D614" t="str">
        <f>"9782759207015"</f>
        <v>9782759207015</v>
      </c>
      <c r="E614" t="s">
        <v>626</v>
      </c>
      <c r="F614" s="1">
        <v>34700</v>
      </c>
    </row>
    <row r="615" spans="1:6" x14ac:dyDescent="0.25">
      <c r="A615">
        <v>3398921</v>
      </c>
      <c r="B615" t="s">
        <v>632</v>
      </c>
      <c r="C615" t="str">
        <f>"9782853623674"</f>
        <v>9782853623674</v>
      </c>
      <c r="D615" t="str">
        <f>"9782759206964"</f>
        <v>9782759206964</v>
      </c>
      <c r="E615" t="s">
        <v>626</v>
      </c>
      <c r="F615" s="1">
        <v>34335</v>
      </c>
    </row>
    <row r="616" spans="1:6" x14ac:dyDescent="0.25">
      <c r="A616">
        <v>3398926</v>
      </c>
      <c r="B616" t="s">
        <v>633</v>
      </c>
      <c r="C616" t="str">
        <f>"9782853622639"</f>
        <v>9782853622639</v>
      </c>
      <c r="D616" t="str">
        <f>"9782759206902"</f>
        <v>9782759206902</v>
      </c>
      <c r="E616" t="s">
        <v>626</v>
      </c>
      <c r="F616" s="1">
        <v>33695</v>
      </c>
    </row>
    <row r="617" spans="1:6" x14ac:dyDescent="0.25">
      <c r="A617">
        <v>3398928</v>
      </c>
      <c r="B617" t="s">
        <v>634</v>
      </c>
      <c r="C617" t="str">
        <f>"9782857447979"</f>
        <v>9782857447979</v>
      </c>
      <c r="D617" t="str">
        <f>"9782759207329"</f>
        <v>9782759207329</v>
      </c>
      <c r="E617" t="s">
        <v>626</v>
      </c>
      <c r="F617" s="1">
        <v>35348</v>
      </c>
    </row>
    <row r="618" spans="1:6" x14ac:dyDescent="0.25">
      <c r="A618">
        <v>3398932</v>
      </c>
      <c r="B618" t="s">
        <v>635</v>
      </c>
      <c r="C618" t="str">
        <f>"9782853624510"</f>
        <v>9782853624510</v>
      </c>
      <c r="D618" t="str">
        <f>"9782759207084"</f>
        <v>9782759207084</v>
      </c>
      <c r="E618" t="s">
        <v>626</v>
      </c>
      <c r="F618" s="1">
        <v>35431</v>
      </c>
    </row>
    <row r="619" spans="1:6" x14ac:dyDescent="0.25">
      <c r="A619">
        <v>3398933</v>
      </c>
      <c r="B619" t="s">
        <v>636</v>
      </c>
      <c r="C619" t="str">
        <f>"9782853625531"</f>
        <v>9782853625531</v>
      </c>
      <c r="D619" t="str">
        <f>"9782759207251"</f>
        <v>9782759207251</v>
      </c>
      <c r="E619" t="s">
        <v>626</v>
      </c>
      <c r="F619" s="1">
        <v>36526</v>
      </c>
    </row>
    <row r="620" spans="1:6" x14ac:dyDescent="0.25">
      <c r="A620">
        <v>3398934</v>
      </c>
      <c r="B620" t="s">
        <v>637</v>
      </c>
      <c r="C620" t="str">
        <f>"9782853624121"</f>
        <v>9782853624121</v>
      </c>
      <c r="D620" t="str">
        <f>"9782759207022"</f>
        <v>9782759207022</v>
      </c>
      <c r="E620" t="s">
        <v>626</v>
      </c>
      <c r="F620" s="1">
        <v>34700</v>
      </c>
    </row>
    <row r="621" spans="1:6" x14ac:dyDescent="0.25">
      <c r="A621">
        <v>3398942</v>
      </c>
      <c r="B621" t="s">
        <v>638</v>
      </c>
      <c r="C621" t="str">
        <f>"9782853623957"</f>
        <v>9782853623957</v>
      </c>
      <c r="D621" t="str">
        <f>"9782759206971"</f>
        <v>9782759206971</v>
      </c>
      <c r="E621" t="s">
        <v>626</v>
      </c>
      <c r="F621" s="1">
        <v>34700</v>
      </c>
    </row>
    <row r="622" spans="1:6" x14ac:dyDescent="0.25">
      <c r="A622">
        <v>3398944</v>
      </c>
      <c r="B622" t="s">
        <v>639</v>
      </c>
      <c r="C622" t="str">
        <f>"9782853624732"</f>
        <v>9782853624732</v>
      </c>
      <c r="D622" t="str">
        <f>"9782759207107"</f>
        <v>9782759207107</v>
      </c>
      <c r="E622" t="s">
        <v>626</v>
      </c>
      <c r="F622" s="1">
        <v>35431</v>
      </c>
    </row>
    <row r="623" spans="1:6" x14ac:dyDescent="0.25">
      <c r="A623">
        <v>3398954</v>
      </c>
      <c r="B623" t="s">
        <v>640</v>
      </c>
      <c r="C623" t="str">
        <f>"9782853622363"</f>
        <v>9782853622363</v>
      </c>
      <c r="D623" t="str">
        <f>"9782759206896"</f>
        <v>9782759206896</v>
      </c>
      <c r="E623" t="s">
        <v>626</v>
      </c>
      <c r="F623" s="1">
        <v>36469</v>
      </c>
    </row>
    <row r="624" spans="1:6" x14ac:dyDescent="0.25">
      <c r="A624">
        <v>3398960</v>
      </c>
      <c r="B624" t="s">
        <v>641</v>
      </c>
      <c r="C624" t="str">
        <f>"9782853625128"</f>
        <v>9782853625128</v>
      </c>
      <c r="D624" t="str">
        <f>"9782759207176"</f>
        <v>9782759207176</v>
      </c>
      <c r="E624" t="s">
        <v>626</v>
      </c>
      <c r="F624" s="1">
        <v>36469</v>
      </c>
    </row>
    <row r="625" spans="1:6" x14ac:dyDescent="0.25">
      <c r="A625">
        <v>3398963</v>
      </c>
      <c r="B625" t="s">
        <v>642</v>
      </c>
      <c r="C625" t="str">
        <f>"9782759207565"</f>
        <v>9782759207565</v>
      </c>
      <c r="D625" t="str">
        <f>"9782759207572"</f>
        <v>9782759207572</v>
      </c>
      <c r="E625" t="s">
        <v>626</v>
      </c>
      <c r="F625" s="1">
        <v>40360</v>
      </c>
    </row>
    <row r="626" spans="1:6" x14ac:dyDescent="0.25">
      <c r="A626">
        <v>3398968</v>
      </c>
      <c r="B626" t="s">
        <v>643</v>
      </c>
      <c r="C626" t="str">
        <f>"9782853622646"</f>
        <v>9782853622646</v>
      </c>
      <c r="D626" t="str">
        <f>"9782759206919"</f>
        <v>9782759206919</v>
      </c>
      <c r="E626" t="s">
        <v>626</v>
      </c>
      <c r="F626" s="1">
        <v>33604</v>
      </c>
    </row>
    <row r="627" spans="1:6" x14ac:dyDescent="0.25">
      <c r="A627">
        <v>3398977</v>
      </c>
      <c r="B627" t="s">
        <v>644</v>
      </c>
      <c r="C627" t="str">
        <f>"9782853625616"</f>
        <v>9782853625616</v>
      </c>
      <c r="D627" t="str">
        <f>"9782759207268"</f>
        <v>9782759207268</v>
      </c>
      <c r="E627" t="s">
        <v>626</v>
      </c>
      <c r="F627" s="1">
        <v>37068</v>
      </c>
    </row>
    <row r="628" spans="1:6" x14ac:dyDescent="0.25">
      <c r="A628">
        <v>3398978</v>
      </c>
      <c r="B628" t="s">
        <v>645</v>
      </c>
      <c r="C628" t="str">
        <f>"9782853625142"</f>
        <v>9782853625142</v>
      </c>
      <c r="D628" t="str">
        <f>"9782759207183"</f>
        <v>9782759207183</v>
      </c>
      <c r="E628" t="s">
        <v>626</v>
      </c>
      <c r="F628" s="1">
        <v>36161</v>
      </c>
    </row>
    <row r="629" spans="1:6" x14ac:dyDescent="0.25">
      <c r="A629">
        <v>3398979</v>
      </c>
      <c r="B629" t="s">
        <v>646</v>
      </c>
      <c r="C629" t="str">
        <f>"9782853624138"</f>
        <v>9782853624138</v>
      </c>
      <c r="D629" t="str">
        <f>"9782759207039"</f>
        <v>9782759207039</v>
      </c>
      <c r="E629" t="s">
        <v>626</v>
      </c>
      <c r="F629" s="1">
        <v>34700</v>
      </c>
    </row>
    <row r="630" spans="1:6" x14ac:dyDescent="0.25">
      <c r="A630">
        <v>3398981</v>
      </c>
      <c r="B630" t="s">
        <v>647</v>
      </c>
      <c r="C630" t="str">
        <f>"9782853624879"</f>
        <v>9782853624879</v>
      </c>
      <c r="D630" t="str">
        <f>"9782759207121"</f>
        <v>9782759207121</v>
      </c>
      <c r="E630" t="s">
        <v>626</v>
      </c>
      <c r="F630" s="1">
        <v>35431</v>
      </c>
    </row>
    <row r="631" spans="1:6" x14ac:dyDescent="0.25">
      <c r="A631">
        <v>3398986</v>
      </c>
      <c r="B631" t="s">
        <v>648</v>
      </c>
      <c r="C631" t="str">
        <f>"9782853623988"</f>
        <v>9782853623988</v>
      </c>
      <c r="D631" t="str">
        <f>"9782759206988"</f>
        <v>9782759206988</v>
      </c>
      <c r="E631" t="s">
        <v>626</v>
      </c>
      <c r="F631" s="1">
        <v>34335</v>
      </c>
    </row>
    <row r="632" spans="1:6" x14ac:dyDescent="0.25">
      <c r="A632">
        <v>3398990</v>
      </c>
      <c r="B632" t="s">
        <v>649</v>
      </c>
      <c r="C632" t="str">
        <f>"9782853622981"</f>
        <v>9782853622981</v>
      </c>
      <c r="D632" t="str">
        <f>"9782759206926"</f>
        <v>9782759206926</v>
      </c>
      <c r="E632" t="s">
        <v>626</v>
      </c>
      <c r="F632" s="1">
        <v>33604</v>
      </c>
    </row>
    <row r="633" spans="1:6" x14ac:dyDescent="0.25">
      <c r="A633">
        <v>3398997</v>
      </c>
      <c r="B633" t="s">
        <v>650</v>
      </c>
      <c r="C633" t="str">
        <f>"9782853625166"</f>
        <v>9782853625166</v>
      </c>
      <c r="D633" t="str">
        <f>"9782759207190"</f>
        <v>9782759207190</v>
      </c>
      <c r="E633" t="s">
        <v>626</v>
      </c>
      <c r="F633" s="1">
        <v>36161</v>
      </c>
    </row>
    <row r="634" spans="1:6" x14ac:dyDescent="0.25">
      <c r="A634">
        <v>3398998</v>
      </c>
      <c r="B634" t="s">
        <v>651</v>
      </c>
      <c r="C634" t="str">
        <f>"9782853624145"</f>
        <v>9782853624145</v>
      </c>
      <c r="D634" t="str">
        <f>"9782759207046"</f>
        <v>9782759207046</v>
      </c>
      <c r="E634" t="s">
        <v>626</v>
      </c>
      <c r="F634" s="1">
        <v>34700</v>
      </c>
    </row>
    <row r="635" spans="1:6" x14ac:dyDescent="0.25">
      <c r="A635">
        <v>3399006</v>
      </c>
      <c r="B635" t="s">
        <v>652</v>
      </c>
      <c r="C635" t="str">
        <f>"9782853624008"</f>
        <v>9782853624008</v>
      </c>
      <c r="D635" t="str">
        <f>"9782759206995"</f>
        <v>9782759206995</v>
      </c>
      <c r="E635" t="s">
        <v>626</v>
      </c>
      <c r="F635" s="1">
        <v>36469</v>
      </c>
    </row>
    <row r="636" spans="1:6" x14ac:dyDescent="0.25">
      <c r="A636">
        <v>3399008</v>
      </c>
      <c r="B636" t="s">
        <v>653</v>
      </c>
      <c r="C636" t="str">
        <f>"9782853623025"</f>
        <v>9782853623025</v>
      </c>
      <c r="D636" t="str">
        <f>"9782759206933"</f>
        <v>9782759206933</v>
      </c>
      <c r="E636" t="s">
        <v>626</v>
      </c>
      <c r="F636" s="1">
        <v>36469</v>
      </c>
    </row>
    <row r="637" spans="1:6" x14ac:dyDescent="0.25">
      <c r="A637">
        <v>3399017</v>
      </c>
      <c r="B637" t="s">
        <v>654</v>
      </c>
      <c r="C637" t="str">
        <f>"9782853624176"</f>
        <v>9782853624176</v>
      </c>
      <c r="D637" t="str">
        <f>"9782759207053"</f>
        <v>9782759207053</v>
      </c>
      <c r="E637" t="s">
        <v>626</v>
      </c>
      <c r="F637" s="1">
        <v>34700</v>
      </c>
    </row>
    <row r="638" spans="1:6" x14ac:dyDescent="0.25">
      <c r="A638">
        <v>3399025</v>
      </c>
      <c r="B638" t="s">
        <v>655</v>
      </c>
      <c r="C638" t="str">
        <f>"9782853623216"</f>
        <v>9782853623216</v>
      </c>
      <c r="D638" t="str">
        <f>"9782759206940"</f>
        <v>9782759206940</v>
      </c>
      <c r="E638" t="s">
        <v>626</v>
      </c>
      <c r="F638" s="1">
        <v>33970</v>
      </c>
    </row>
    <row r="639" spans="1:6" x14ac:dyDescent="0.25">
      <c r="A639">
        <v>3399029</v>
      </c>
      <c r="B639" t="s">
        <v>656</v>
      </c>
      <c r="C639" t="str">
        <f>"9782853624930"</f>
        <v>9782853624930</v>
      </c>
      <c r="D639" t="str">
        <f>"9782759207138"</f>
        <v>9782759207138</v>
      </c>
      <c r="E639" t="s">
        <v>626</v>
      </c>
      <c r="F639" s="1">
        <v>35796</v>
      </c>
    </row>
    <row r="640" spans="1:6" x14ac:dyDescent="0.25">
      <c r="A640">
        <v>3399032</v>
      </c>
      <c r="B640" t="s">
        <v>657</v>
      </c>
      <c r="C640" t="str">
        <f>"9782853625937"</f>
        <v>9782853625937</v>
      </c>
      <c r="D640" t="str">
        <f>"9782759207305"</f>
        <v>9782759207305</v>
      </c>
      <c r="E640" t="s">
        <v>626</v>
      </c>
      <c r="F640" s="1">
        <v>37418</v>
      </c>
    </row>
    <row r="641" spans="1:6" x14ac:dyDescent="0.25">
      <c r="A641">
        <v>3399040</v>
      </c>
      <c r="B641" t="s">
        <v>658</v>
      </c>
      <c r="C641" t="str">
        <f>"9782853622066"</f>
        <v>9782853622066</v>
      </c>
      <c r="D641" t="str">
        <f>"9782759206858"</f>
        <v>9782759206858</v>
      </c>
      <c r="E641" t="s">
        <v>626</v>
      </c>
      <c r="F641" s="1">
        <v>34177</v>
      </c>
    </row>
    <row r="642" spans="1:6" x14ac:dyDescent="0.25">
      <c r="A642">
        <v>3399042</v>
      </c>
      <c r="B642" t="s">
        <v>659</v>
      </c>
      <c r="C642" t="str">
        <f>"9782759200795"</f>
        <v>9782759200795</v>
      </c>
      <c r="D642" t="str">
        <f>"9782759206780"</f>
        <v>9782759206780</v>
      </c>
      <c r="E642" t="s">
        <v>626</v>
      </c>
      <c r="F642" s="1">
        <v>39463</v>
      </c>
    </row>
    <row r="643" spans="1:6" x14ac:dyDescent="0.25">
      <c r="A643">
        <v>3399052</v>
      </c>
      <c r="B643" t="s">
        <v>660</v>
      </c>
      <c r="C643" t="str">
        <f>"9782853622318"</f>
        <v>9782853622318</v>
      </c>
      <c r="D643" t="str">
        <f>"9782759206872"</f>
        <v>9782759206872</v>
      </c>
      <c r="E643" t="s">
        <v>626</v>
      </c>
      <c r="F643" s="1">
        <v>33239</v>
      </c>
    </row>
    <row r="644" spans="1:6" x14ac:dyDescent="0.25">
      <c r="A644">
        <v>3399058</v>
      </c>
      <c r="B644" t="s">
        <v>661</v>
      </c>
      <c r="C644" t="str">
        <f>"9782853625456"</f>
        <v>9782853625456</v>
      </c>
      <c r="D644" t="str">
        <f>"9782759207237"</f>
        <v>9782759207237</v>
      </c>
      <c r="E644" t="s">
        <v>626</v>
      </c>
      <c r="F644" s="1">
        <v>36526</v>
      </c>
    </row>
    <row r="645" spans="1:6" x14ac:dyDescent="0.25">
      <c r="A645">
        <v>3399059</v>
      </c>
      <c r="B645" t="s">
        <v>662</v>
      </c>
      <c r="C645" t="str">
        <f>"9782853625043"</f>
        <v>9782853625043</v>
      </c>
      <c r="D645" t="str">
        <f>"9782759207152"</f>
        <v>9782759207152</v>
      </c>
      <c r="E645" t="s">
        <v>626</v>
      </c>
      <c r="F645" s="1">
        <v>35796</v>
      </c>
    </row>
    <row r="646" spans="1:6" x14ac:dyDescent="0.25">
      <c r="A646">
        <v>3399066</v>
      </c>
      <c r="B646" t="s">
        <v>663</v>
      </c>
      <c r="C646" t="str">
        <f>"9782853623520"</f>
        <v>9782853623520</v>
      </c>
      <c r="D646" t="str">
        <f>"9782759206957"</f>
        <v>9782759206957</v>
      </c>
      <c r="E646" t="s">
        <v>626</v>
      </c>
      <c r="F646" s="1">
        <v>34335</v>
      </c>
    </row>
    <row r="647" spans="1:6" x14ac:dyDescent="0.25">
      <c r="A647">
        <v>3399071</v>
      </c>
      <c r="B647" t="s">
        <v>664</v>
      </c>
      <c r="C647" t="str">
        <f>"9782759203116"</f>
        <v>9782759203116</v>
      </c>
      <c r="D647" t="str">
        <f>"9782759203123"</f>
        <v>9782759203123</v>
      </c>
      <c r="E647" t="s">
        <v>626</v>
      </c>
      <c r="F647" s="1">
        <v>39969</v>
      </c>
    </row>
    <row r="648" spans="1:6" x14ac:dyDescent="0.25">
      <c r="A648">
        <v>3399118</v>
      </c>
      <c r="B648" t="s">
        <v>665</v>
      </c>
      <c r="C648" t="str">
        <f>"9782759205103"</f>
        <v>9782759205103</v>
      </c>
      <c r="D648" t="str">
        <f>"9782759205110"</f>
        <v>9782759205110</v>
      </c>
      <c r="E648" t="s">
        <v>626</v>
      </c>
      <c r="F648" s="1">
        <v>40520</v>
      </c>
    </row>
    <row r="649" spans="1:6" x14ac:dyDescent="0.25">
      <c r="A649">
        <v>3399154</v>
      </c>
      <c r="B649" t="s">
        <v>666</v>
      </c>
      <c r="C649" t="str">
        <f>"9782759203840"</f>
        <v>9782759203840</v>
      </c>
      <c r="D649" t="str">
        <f>"9782759203857"</f>
        <v>9782759203857</v>
      </c>
      <c r="E649" t="s">
        <v>626</v>
      </c>
      <c r="F649" s="1">
        <v>40197</v>
      </c>
    </row>
    <row r="650" spans="1:6" x14ac:dyDescent="0.25">
      <c r="A650">
        <v>3399169</v>
      </c>
      <c r="B650" t="s">
        <v>667</v>
      </c>
      <c r="C650" t="str">
        <f>"9782759203451"</f>
        <v>9782759203451</v>
      </c>
      <c r="D650" t="str">
        <f>"9782759203468"</f>
        <v>9782759203468</v>
      </c>
      <c r="E650" t="s">
        <v>626</v>
      </c>
      <c r="F650" s="1">
        <v>40245</v>
      </c>
    </row>
    <row r="651" spans="1:6" x14ac:dyDescent="0.25">
      <c r="A651">
        <v>3399170</v>
      </c>
      <c r="B651" t="s">
        <v>668</v>
      </c>
      <c r="C651" t="str">
        <f>"9782759203222"</f>
        <v>9782759203222</v>
      </c>
      <c r="D651" t="str">
        <f>"9782759203239"</f>
        <v>9782759203239</v>
      </c>
      <c r="E651" t="s">
        <v>626</v>
      </c>
      <c r="F651" s="1">
        <v>40004</v>
      </c>
    </row>
    <row r="652" spans="1:6" x14ac:dyDescent="0.25">
      <c r="A652">
        <v>3399254</v>
      </c>
      <c r="B652" t="s">
        <v>669</v>
      </c>
      <c r="C652" t="str">
        <f>"9782759200153"</f>
        <v>9782759200153</v>
      </c>
      <c r="D652" t="str">
        <f>"9782759200986"</f>
        <v>9782759200986</v>
      </c>
      <c r="E652" t="s">
        <v>626</v>
      </c>
      <c r="F652" s="1">
        <v>39097</v>
      </c>
    </row>
    <row r="653" spans="1:6" x14ac:dyDescent="0.25">
      <c r="A653">
        <v>3399276</v>
      </c>
      <c r="B653" t="s">
        <v>670</v>
      </c>
      <c r="C653" t="str">
        <f>""</f>
        <v/>
      </c>
      <c r="D653" t="str">
        <f>"9782759215386"</f>
        <v>9782759215386</v>
      </c>
      <c r="E653" t="s">
        <v>626</v>
      </c>
      <c r="F653" s="1">
        <v>39365</v>
      </c>
    </row>
    <row r="654" spans="1:6" x14ac:dyDescent="0.25">
      <c r="A654">
        <v>3399297</v>
      </c>
      <c r="B654" t="s">
        <v>671</v>
      </c>
      <c r="C654" t="str">
        <f>"9782759201839"</f>
        <v>9782759201839</v>
      </c>
      <c r="D654" t="str">
        <f>"9782759201846"</f>
        <v>9782759201846</v>
      </c>
      <c r="E654" t="s">
        <v>626</v>
      </c>
      <c r="F654" s="1">
        <v>39856</v>
      </c>
    </row>
    <row r="655" spans="1:6" x14ac:dyDescent="0.25">
      <c r="A655">
        <v>3399348</v>
      </c>
      <c r="B655" t="s">
        <v>672</v>
      </c>
      <c r="C655" t="str">
        <f>"9782759200054"</f>
        <v>9782759200054</v>
      </c>
      <c r="D655" t="str">
        <f>"9782759200962"</f>
        <v>9782759200962</v>
      </c>
      <c r="E655" t="s">
        <v>626</v>
      </c>
      <c r="F655" s="1">
        <v>39069</v>
      </c>
    </row>
    <row r="656" spans="1:6" x14ac:dyDescent="0.25">
      <c r="A656">
        <v>3399385</v>
      </c>
      <c r="B656" t="s">
        <v>673</v>
      </c>
      <c r="C656" t="str">
        <f>"9782876146228"</f>
        <v>9782876146228</v>
      </c>
      <c r="D656" t="str">
        <f>"9782759201426"</f>
        <v>9782759201426</v>
      </c>
      <c r="E656" t="s">
        <v>626</v>
      </c>
      <c r="F656" s="1">
        <v>38353</v>
      </c>
    </row>
    <row r="657" spans="1:6" x14ac:dyDescent="0.25">
      <c r="A657">
        <v>3399409</v>
      </c>
      <c r="B657" t="s">
        <v>674</v>
      </c>
      <c r="C657" t="str">
        <f>"9782759218929"</f>
        <v>9782759218929</v>
      </c>
      <c r="D657" t="str">
        <f>"9782759218936"</f>
        <v>9782759218936</v>
      </c>
      <c r="E657" t="s">
        <v>626</v>
      </c>
      <c r="F657" s="1">
        <v>41282</v>
      </c>
    </row>
    <row r="658" spans="1:6" x14ac:dyDescent="0.25">
      <c r="A658">
        <v>3399437</v>
      </c>
      <c r="B658" t="s">
        <v>675</v>
      </c>
      <c r="C658" t="str">
        <f>"9782759216840"</f>
        <v>9782759216840</v>
      </c>
      <c r="D658" t="str">
        <f>"9782759216857"</f>
        <v>9782759216857</v>
      </c>
      <c r="E658" t="s">
        <v>626</v>
      </c>
      <c r="F658" s="1">
        <v>40875</v>
      </c>
    </row>
    <row r="659" spans="1:6" x14ac:dyDescent="0.25">
      <c r="A659">
        <v>3399473</v>
      </c>
      <c r="B659" t="s">
        <v>676</v>
      </c>
      <c r="C659" t="str">
        <f>"9782759219681"</f>
        <v>9782759219681</v>
      </c>
      <c r="D659" t="str">
        <f>"9782759219698"</f>
        <v>9782759219698</v>
      </c>
      <c r="E659" t="s">
        <v>626</v>
      </c>
      <c r="F659" s="1">
        <v>41425</v>
      </c>
    </row>
    <row r="660" spans="1:6" x14ac:dyDescent="0.25">
      <c r="A660">
        <v>3399483</v>
      </c>
      <c r="B660" t="s">
        <v>677</v>
      </c>
      <c r="C660" t="str">
        <f>"9782759219865"</f>
        <v>9782759219865</v>
      </c>
      <c r="D660" t="str">
        <f>"9782759219872"</f>
        <v>9782759219872</v>
      </c>
      <c r="E660" t="s">
        <v>626</v>
      </c>
      <c r="F660" s="1">
        <v>41425</v>
      </c>
    </row>
    <row r="661" spans="1:6" x14ac:dyDescent="0.25">
      <c r="A661">
        <v>3399495</v>
      </c>
      <c r="B661" t="s">
        <v>678</v>
      </c>
      <c r="C661" t="str">
        <f>"9782759220618"</f>
        <v>9782759220618</v>
      </c>
      <c r="D661" t="str">
        <f>"9782759220625"</f>
        <v>9782759220625</v>
      </c>
      <c r="E661" t="s">
        <v>626</v>
      </c>
      <c r="F661" s="1">
        <v>41613</v>
      </c>
    </row>
    <row r="662" spans="1:6" x14ac:dyDescent="0.25">
      <c r="A662">
        <v>3399504</v>
      </c>
      <c r="B662" t="s">
        <v>679</v>
      </c>
      <c r="C662" t="str">
        <f>"9782759221622"</f>
        <v>9782759221622</v>
      </c>
      <c r="D662" t="str">
        <f>"9782759221639"</f>
        <v>9782759221639</v>
      </c>
      <c r="E662" t="s">
        <v>626</v>
      </c>
      <c r="F662" s="1">
        <v>41778</v>
      </c>
    </row>
    <row r="663" spans="1:6" x14ac:dyDescent="0.25">
      <c r="A663">
        <v>3399530</v>
      </c>
      <c r="B663" t="s">
        <v>680</v>
      </c>
      <c r="C663" t="str">
        <f>"9782759221684"</f>
        <v>9782759221684</v>
      </c>
      <c r="D663" t="str">
        <f>"9782759221691"</f>
        <v>9782759221691</v>
      </c>
      <c r="E663" t="s">
        <v>626</v>
      </c>
      <c r="F663" s="1">
        <v>41925</v>
      </c>
    </row>
    <row r="664" spans="1:6" x14ac:dyDescent="0.25">
      <c r="A664">
        <v>3399545</v>
      </c>
      <c r="B664" t="s">
        <v>681</v>
      </c>
      <c r="C664" t="str">
        <f>"9782759222421"</f>
        <v>9782759222421</v>
      </c>
      <c r="D664" t="str">
        <f>"9782759222438"</f>
        <v>9782759222438</v>
      </c>
      <c r="E664" t="s">
        <v>626</v>
      </c>
      <c r="F664" s="1">
        <v>41975</v>
      </c>
    </row>
    <row r="665" spans="1:6" x14ac:dyDescent="0.25">
      <c r="A665">
        <v>3399546</v>
      </c>
      <c r="B665" t="s">
        <v>682</v>
      </c>
      <c r="C665" t="str">
        <f>"9782759222667"</f>
        <v>9782759222667</v>
      </c>
      <c r="D665" t="str">
        <f>"9782759222674"</f>
        <v>9782759222674</v>
      </c>
      <c r="E665" t="s">
        <v>626</v>
      </c>
      <c r="F665" s="1">
        <v>41990</v>
      </c>
    </row>
    <row r="666" spans="1:6" x14ac:dyDescent="0.25">
      <c r="A666">
        <v>3408846</v>
      </c>
      <c r="B666" t="s">
        <v>683</v>
      </c>
      <c r="C666" t="str">
        <f>"9781438450216"</f>
        <v>9781438450216</v>
      </c>
      <c r="D666" t="str">
        <f>"9781438450230"</f>
        <v>9781438450230</v>
      </c>
      <c r="E666" t="s">
        <v>684</v>
      </c>
      <c r="F666" s="1">
        <v>41730</v>
      </c>
    </row>
    <row r="667" spans="1:6" x14ac:dyDescent="0.25">
      <c r="A667">
        <v>3408947</v>
      </c>
      <c r="B667" t="s">
        <v>685</v>
      </c>
      <c r="C667" t="str">
        <f>"9781438453118"</f>
        <v>9781438453118</v>
      </c>
      <c r="D667" t="str">
        <f>"9781438453125"</f>
        <v>9781438453125</v>
      </c>
      <c r="E667" t="s">
        <v>684</v>
      </c>
      <c r="F667" s="1">
        <v>41944</v>
      </c>
    </row>
    <row r="668" spans="1:6" x14ac:dyDescent="0.25">
      <c r="A668">
        <v>3409028</v>
      </c>
      <c r="B668" t="s">
        <v>686</v>
      </c>
      <c r="C668" t="str">
        <f>"9781438455914"</f>
        <v>9781438455914</v>
      </c>
      <c r="D668" t="str">
        <f>"9781438455938"</f>
        <v>9781438455938</v>
      </c>
      <c r="E668" t="s">
        <v>684</v>
      </c>
      <c r="F668" s="1">
        <v>42125</v>
      </c>
    </row>
    <row r="669" spans="1:6" x14ac:dyDescent="0.25">
      <c r="A669">
        <v>3409029</v>
      </c>
      <c r="B669" t="s">
        <v>687</v>
      </c>
      <c r="C669" t="str">
        <f>"9781438456072"</f>
        <v>9781438456072</v>
      </c>
      <c r="D669" t="str">
        <f>"9781438456096"</f>
        <v>9781438456096</v>
      </c>
      <c r="E669" t="s">
        <v>684</v>
      </c>
      <c r="F669" s="1">
        <v>42156</v>
      </c>
    </row>
    <row r="670" spans="1:6" x14ac:dyDescent="0.25">
      <c r="A670">
        <v>3414977</v>
      </c>
      <c r="B670" t="s">
        <v>688</v>
      </c>
      <c r="C670" t="str">
        <f>"9780472117482"</f>
        <v>9780472117482</v>
      </c>
      <c r="D670" t="str">
        <f>"9780472026371"</f>
        <v>9780472026371</v>
      </c>
      <c r="E670" t="s">
        <v>689</v>
      </c>
      <c r="F670" s="1">
        <v>40561</v>
      </c>
    </row>
    <row r="671" spans="1:6" x14ac:dyDescent="0.25">
      <c r="A671">
        <v>3425618</v>
      </c>
      <c r="B671" t="s">
        <v>690</v>
      </c>
      <c r="C671" t="str">
        <f>"9781618114587"</f>
        <v>9781618114587</v>
      </c>
      <c r="D671" t="str">
        <f>"9781618117090"</f>
        <v>9781618117090</v>
      </c>
      <c r="E671" t="s">
        <v>514</v>
      </c>
      <c r="F671" s="1">
        <v>42200</v>
      </c>
    </row>
    <row r="672" spans="1:6" x14ac:dyDescent="0.25">
      <c r="A672">
        <v>3425620</v>
      </c>
      <c r="B672" t="s">
        <v>691</v>
      </c>
      <c r="C672" t="str">
        <f>"9781618112842"</f>
        <v>9781618112842</v>
      </c>
      <c r="D672" t="str">
        <f>"9781618112859"</f>
        <v>9781618112859</v>
      </c>
      <c r="E672" t="s">
        <v>514</v>
      </c>
      <c r="F672" s="1">
        <v>42210</v>
      </c>
    </row>
    <row r="673" spans="1:6" x14ac:dyDescent="0.25">
      <c r="A673">
        <v>3425842</v>
      </c>
      <c r="B673" t="s">
        <v>692</v>
      </c>
      <c r="C673" t="str">
        <f>"9781780407210"</f>
        <v>9781780407210</v>
      </c>
      <c r="D673" t="str">
        <f>"9781780407227"</f>
        <v>9781780407227</v>
      </c>
      <c r="E673" t="s">
        <v>570</v>
      </c>
      <c r="F673" s="1">
        <v>42231</v>
      </c>
    </row>
    <row r="674" spans="1:6" x14ac:dyDescent="0.25">
      <c r="A674">
        <v>3440246</v>
      </c>
      <c r="B674" t="s">
        <v>693</v>
      </c>
      <c r="C674" t="str">
        <f>"9781783741281"</f>
        <v>9781783741281</v>
      </c>
      <c r="D674" t="str">
        <f>"9781783741298"</f>
        <v>9781783741298</v>
      </c>
      <c r="E674" t="s">
        <v>580</v>
      </c>
      <c r="F674" s="1">
        <v>42149</v>
      </c>
    </row>
    <row r="675" spans="1:6" x14ac:dyDescent="0.25">
      <c r="A675">
        <v>3440247</v>
      </c>
      <c r="B675" t="s">
        <v>694</v>
      </c>
      <c r="C675" t="str">
        <f>"9781783740635"</f>
        <v>9781783740635</v>
      </c>
      <c r="D675" t="str">
        <f>"9781783740642"</f>
        <v>9781783740642</v>
      </c>
      <c r="E675" t="s">
        <v>580</v>
      </c>
      <c r="F675" s="1">
        <v>42051</v>
      </c>
    </row>
    <row r="676" spans="1:6" x14ac:dyDescent="0.25">
      <c r="A676">
        <v>3440248</v>
      </c>
      <c r="B676" t="s">
        <v>695</v>
      </c>
      <c r="C676" t="str">
        <f>"9781909254558"</f>
        <v>9781909254558</v>
      </c>
      <c r="D676" t="str">
        <f>"9781909254565"</f>
        <v>9781909254565</v>
      </c>
      <c r="E676" t="s">
        <v>580</v>
      </c>
      <c r="F676" s="1">
        <v>41995</v>
      </c>
    </row>
    <row r="677" spans="1:6" x14ac:dyDescent="0.25">
      <c r="A677">
        <v>3440249</v>
      </c>
      <c r="B677" t="s">
        <v>696</v>
      </c>
      <c r="C677" t="str">
        <f>"9781783741182"</f>
        <v>9781783741182</v>
      </c>
      <c r="D677" t="str">
        <f>"9781783741199"</f>
        <v>9781783741199</v>
      </c>
      <c r="E677" t="s">
        <v>580</v>
      </c>
      <c r="F677" s="1">
        <v>42128</v>
      </c>
    </row>
    <row r="678" spans="1:6" x14ac:dyDescent="0.25">
      <c r="A678">
        <v>3440250</v>
      </c>
      <c r="B678" t="s">
        <v>697</v>
      </c>
      <c r="C678" t="str">
        <f>"9781783741236"</f>
        <v>9781783741236</v>
      </c>
      <c r="D678" t="str">
        <f>"9781783741243"</f>
        <v>9781783741243</v>
      </c>
      <c r="E678" t="s">
        <v>580</v>
      </c>
      <c r="F678" s="1">
        <v>42114</v>
      </c>
    </row>
    <row r="679" spans="1:6" x14ac:dyDescent="0.25">
      <c r="A679">
        <v>3440251</v>
      </c>
      <c r="B679" t="s">
        <v>698</v>
      </c>
      <c r="C679" t="str">
        <f>"9781783740437"</f>
        <v>9781783740437</v>
      </c>
      <c r="D679" t="str">
        <f>"9781783740444"</f>
        <v>9781783740444</v>
      </c>
      <c r="E679" t="s">
        <v>580</v>
      </c>
      <c r="F679" s="1">
        <v>42151</v>
      </c>
    </row>
    <row r="680" spans="1:6" x14ac:dyDescent="0.25">
      <c r="A680">
        <v>3440252</v>
      </c>
      <c r="B680" t="s">
        <v>699</v>
      </c>
      <c r="C680" t="str">
        <f>"9781783741083"</f>
        <v>9781783741083</v>
      </c>
      <c r="D680" t="str">
        <f>"9781783741090"</f>
        <v>9781783741090</v>
      </c>
      <c r="E680" t="s">
        <v>580</v>
      </c>
      <c r="F680" s="1">
        <v>42093</v>
      </c>
    </row>
    <row r="681" spans="1:6" x14ac:dyDescent="0.25">
      <c r="A681">
        <v>3440253</v>
      </c>
      <c r="B681" t="s">
        <v>700</v>
      </c>
      <c r="C681" t="str">
        <f>"9781783741489"</f>
        <v>9781783741489</v>
      </c>
      <c r="D681" t="str">
        <f>"9781783741496"</f>
        <v>9781783741496</v>
      </c>
      <c r="E681" t="s">
        <v>580</v>
      </c>
      <c r="F681" s="1">
        <v>42135</v>
      </c>
    </row>
    <row r="682" spans="1:6" x14ac:dyDescent="0.25">
      <c r="A682">
        <v>3440254</v>
      </c>
      <c r="B682" t="s">
        <v>701</v>
      </c>
      <c r="C682" t="str">
        <f>"9781783741137"</f>
        <v>9781783741137</v>
      </c>
      <c r="D682" t="str">
        <f>"9781783741144"</f>
        <v>9781783741144</v>
      </c>
      <c r="E682" t="s">
        <v>580</v>
      </c>
      <c r="F682" s="1">
        <v>42177</v>
      </c>
    </row>
    <row r="683" spans="1:6" x14ac:dyDescent="0.25">
      <c r="A683">
        <v>3440255</v>
      </c>
      <c r="B683" t="s">
        <v>702</v>
      </c>
      <c r="C683" t="str">
        <f>"9781783741588"</f>
        <v>9781783741588</v>
      </c>
      <c r="D683" t="str">
        <f>"9781783741595"</f>
        <v>9781783741595</v>
      </c>
      <c r="E683" t="s">
        <v>580</v>
      </c>
      <c r="F683" s="1">
        <v>42186</v>
      </c>
    </row>
    <row r="684" spans="1:6" x14ac:dyDescent="0.25">
      <c r="A684">
        <v>3442877</v>
      </c>
      <c r="B684" t="s">
        <v>703</v>
      </c>
      <c r="C684" t="str">
        <f>"9780874218589"</f>
        <v>9780874218589</v>
      </c>
      <c r="D684" t="str">
        <f>"9780874218541"</f>
        <v>9780874218541</v>
      </c>
      <c r="E684" t="s">
        <v>422</v>
      </c>
      <c r="F684" s="1">
        <v>40817</v>
      </c>
    </row>
    <row r="685" spans="1:6" x14ac:dyDescent="0.25">
      <c r="A685">
        <v>3442878</v>
      </c>
      <c r="B685" t="s">
        <v>704</v>
      </c>
      <c r="C685" t="str">
        <f>"9780874218091"</f>
        <v>9780874218091</v>
      </c>
      <c r="D685" t="str">
        <f>"9780874218114"</f>
        <v>9780874218114</v>
      </c>
      <c r="E685" t="s">
        <v>422</v>
      </c>
      <c r="F685" s="1">
        <v>40836</v>
      </c>
    </row>
    <row r="686" spans="1:6" x14ac:dyDescent="0.25">
      <c r="A686">
        <v>3442886</v>
      </c>
      <c r="B686" t="s">
        <v>705</v>
      </c>
      <c r="C686" t="str">
        <f>"9780874218633"</f>
        <v>9780874218633</v>
      </c>
      <c r="D686" t="str">
        <f>"9780874218657"</f>
        <v>9780874218657</v>
      </c>
      <c r="E686" t="s">
        <v>422</v>
      </c>
      <c r="F686" s="1">
        <v>41070</v>
      </c>
    </row>
    <row r="687" spans="1:6" x14ac:dyDescent="0.25">
      <c r="A687">
        <v>3563345</v>
      </c>
      <c r="B687" t="s">
        <v>706</v>
      </c>
      <c r="C687" t="str">
        <f>"9789089644206"</f>
        <v>9789089644206</v>
      </c>
      <c r="D687" t="str">
        <f>"9789048516193"</f>
        <v>9789048516193</v>
      </c>
      <c r="E687" t="s">
        <v>59</v>
      </c>
      <c r="F687" s="1">
        <v>42076</v>
      </c>
    </row>
    <row r="688" spans="1:6" x14ac:dyDescent="0.25">
      <c r="A688">
        <v>3563346</v>
      </c>
      <c r="B688" t="s">
        <v>707</v>
      </c>
      <c r="C688" t="str">
        <f>"9789089644725"</f>
        <v>9789089644725</v>
      </c>
      <c r="D688" t="str">
        <f>"9789048517800"</f>
        <v>9789048517800</v>
      </c>
      <c r="E688" t="s">
        <v>59</v>
      </c>
      <c r="F688" s="1">
        <v>42131</v>
      </c>
    </row>
    <row r="689" spans="1:6" x14ac:dyDescent="0.25">
      <c r="A689">
        <v>3563348</v>
      </c>
      <c r="B689" t="s">
        <v>708</v>
      </c>
      <c r="C689" t="str">
        <f>"9789089646767"</f>
        <v>9789089646767</v>
      </c>
      <c r="D689" t="str">
        <f>"9789048523634"</f>
        <v>9789048523634</v>
      </c>
      <c r="E689" t="s">
        <v>59</v>
      </c>
      <c r="F689" s="1">
        <v>42142</v>
      </c>
    </row>
    <row r="690" spans="1:6" x14ac:dyDescent="0.25">
      <c r="A690">
        <v>3563349</v>
      </c>
      <c r="B690" t="s">
        <v>709</v>
      </c>
      <c r="C690" t="str">
        <f>"9789089646408"</f>
        <v>9789089646408</v>
      </c>
      <c r="D690" t="str">
        <f>"9789048523047"</f>
        <v>9789048523047</v>
      </c>
      <c r="E690" t="s">
        <v>59</v>
      </c>
      <c r="F690" s="1">
        <v>42177</v>
      </c>
    </row>
    <row r="691" spans="1:6" x14ac:dyDescent="0.25">
      <c r="A691">
        <v>3563351</v>
      </c>
      <c r="B691" t="s">
        <v>710</v>
      </c>
      <c r="C691" t="str">
        <f>"9789089648914"</f>
        <v>9789089648914</v>
      </c>
      <c r="D691" t="str">
        <f>"9789048527557"</f>
        <v>9789048527557</v>
      </c>
      <c r="E691" t="s">
        <v>59</v>
      </c>
      <c r="F691" s="1">
        <v>42292</v>
      </c>
    </row>
    <row r="692" spans="1:6" x14ac:dyDescent="0.25">
      <c r="A692">
        <v>3563356</v>
      </c>
      <c r="B692" t="s">
        <v>711</v>
      </c>
      <c r="C692" t="str">
        <f>"9789089645388"</f>
        <v>9789089645388</v>
      </c>
      <c r="D692" t="str">
        <f>"9789048519071"</f>
        <v>9789048519071</v>
      </c>
      <c r="E692" t="s">
        <v>59</v>
      </c>
      <c r="F692" s="1">
        <v>42167</v>
      </c>
    </row>
    <row r="693" spans="1:6" x14ac:dyDescent="0.25">
      <c r="A693">
        <v>3563358</v>
      </c>
      <c r="B693" t="s">
        <v>712</v>
      </c>
      <c r="C693" t="str">
        <f>"9789089646774"</f>
        <v>9789089646774</v>
      </c>
      <c r="D693" t="str">
        <f>"9789048523658"</f>
        <v>9789048523658</v>
      </c>
      <c r="E693" t="s">
        <v>59</v>
      </c>
      <c r="F693" s="1">
        <v>42209</v>
      </c>
    </row>
    <row r="694" spans="1:6" x14ac:dyDescent="0.25">
      <c r="A694">
        <v>3563359</v>
      </c>
      <c r="B694" t="s">
        <v>713</v>
      </c>
      <c r="C694" t="str">
        <f>"9789089647085"</f>
        <v>9789089647085</v>
      </c>
      <c r="D694" t="str">
        <f>"9789048524235"</f>
        <v>9789048524235</v>
      </c>
      <c r="E694" t="s">
        <v>59</v>
      </c>
      <c r="F694" s="1">
        <v>42209</v>
      </c>
    </row>
    <row r="695" spans="1:6" x14ac:dyDescent="0.25">
      <c r="A695">
        <v>3563360</v>
      </c>
      <c r="B695" t="s">
        <v>714</v>
      </c>
      <c r="C695" t="str">
        <f>"9789089647801"</f>
        <v>9789089647801</v>
      </c>
      <c r="D695" t="str">
        <f>"9789048525805"</f>
        <v>9789048525805</v>
      </c>
      <c r="E695" t="s">
        <v>59</v>
      </c>
      <c r="F695" s="1">
        <v>42209</v>
      </c>
    </row>
    <row r="696" spans="1:6" x14ac:dyDescent="0.25">
      <c r="A696">
        <v>3570549</v>
      </c>
      <c r="B696" t="s">
        <v>715</v>
      </c>
      <c r="C696" t="str">
        <f>"9780472117208"</f>
        <v>9780472117208</v>
      </c>
      <c r="D696" t="str">
        <f>"9780472120857"</f>
        <v>9780472120857</v>
      </c>
      <c r="E696" t="s">
        <v>689</v>
      </c>
      <c r="F696" s="1">
        <v>40295</v>
      </c>
    </row>
    <row r="697" spans="1:6" x14ac:dyDescent="0.25">
      <c r="A697">
        <v>3572110</v>
      </c>
      <c r="B697" t="s">
        <v>716</v>
      </c>
      <c r="C697" t="str">
        <f>"9783110375800"</f>
        <v>9783110375800</v>
      </c>
      <c r="D697" t="str">
        <f>"9783110375817"</f>
        <v>9783110375817</v>
      </c>
      <c r="E697" t="s">
        <v>73</v>
      </c>
      <c r="F697" s="1">
        <v>42082</v>
      </c>
    </row>
    <row r="698" spans="1:6" x14ac:dyDescent="0.25">
      <c r="A698">
        <v>3572111</v>
      </c>
      <c r="B698" t="s">
        <v>717</v>
      </c>
      <c r="C698" t="str">
        <f>"9783110337181"</f>
        <v>9783110337181</v>
      </c>
      <c r="D698" t="str">
        <f>"9783110354324"</f>
        <v>9783110354324</v>
      </c>
      <c r="E698" t="s">
        <v>53</v>
      </c>
      <c r="F698" s="1">
        <v>42143</v>
      </c>
    </row>
    <row r="699" spans="1:6" x14ac:dyDescent="0.25">
      <c r="A699">
        <v>3572112</v>
      </c>
      <c r="B699" t="s">
        <v>718</v>
      </c>
      <c r="C699" t="str">
        <f>"9783110425253"</f>
        <v>9783110425253</v>
      </c>
      <c r="D699" t="str">
        <f>"9783110425260"</f>
        <v>9783110425260</v>
      </c>
      <c r="E699" t="s">
        <v>73</v>
      </c>
      <c r="F699" s="1">
        <v>42171</v>
      </c>
    </row>
    <row r="700" spans="1:6" x14ac:dyDescent="0.25">
      <c r="A700">
        <v>3572114</v>
      </c>
      <c r="B700" t="s">
        <v>719</v>
      </c>
      <c r="C700" t="str">
        <f>"9783110370164"</f>
        <v>9783110370164</v>
      </c>
      <c r="D700" t="str">
        <f>"9783110370195"</f>
        <v>9783110370195</v>
      </c>
      <c r="E700" t="s">
        <v>73</v>
      </c>
      <c r="F700" s="1">
        <v>42153</v>
      </c>
    </row>
    <row r="701" spans="1:6" x14ac:dyDescent="0.25">
      <c r="A701">
        <v>3572134</v>
      </c>
      <c r="B701" t="s">
        <v>720</v>
      </c>
      <c r="C701" t="str">
        <f>"9783110426410"</f>
        <v>9783110426410</v>
      </c>
      <c r="D701" t="str">
        <f>"9783110426427"</f>
        <v>9783110426427</v>
      </c>
      <c r="E701" t="s">
        <v>73</v>
      </c>
      <c r="F701" s="1">
        <v>42143</v>
      </c>
    </row>
    <row r="702" spans="1:6" x14ac:dyDescent="0.25">
      <c r="A702">
        <v>3572135</v>
      </c>
      <c r="B702" t="s">
        <v>721</v>
      </c>
      <c r="C702" t="str">
        <f>"9783110374810"</f>
        <v>9783110374810</v>
      </c>
      <c r="D702" t="str">
        <f>"9783110374827"</f>
        <v>9783110374827</v>
      </c>
      <c r="E702" t="s">
        <v>73</v>
      </c>
      <c r="F702" s="1">
        <v>41920</v>
      </c>
    </row>
    <row r="703" spans="1:6" x14ac:dyDescent="0.25">
      <c r="A703">
        <v>3572138</v>
      </c>
      <c r="B703" t="s">
        <v>722</v>
      </c>
      <c r="C703" t="str">
        <f>"9783486590166"</f>
        <v>9783486590166</v>
      </c>
      <c r="D703" t="str">
        <f>"9783486850482"</f>
        <v>9783486850482</v>
      </c>
      <c r="E703" t="s">
        <v>73</v>
      </c>
      <c r="F703" s="1">
        <v>40044</v>
      </c>
    </row>
    <row r="704" spans="1:6" x14ac:dyDescent="0.25">
      <c r="A704">
        <v>3572142</v>
      </c>
      <c r="B704" t="s">
        <v>723</v>
      </c>
      <c r="C704" t="str">
        <f>"9783486585193"</f>
        <v>9783486585193</v>
      </c>
      <c r="D704" t="str">
        <f>"9783486845686"</f>
        <v>9783486845686</v>
      </c>
      <c r="E704" t="s">
        <v>73</v>
      </c>
      <c r="F704" s="1">
        <v>39377</v>
      </c>
    </row>
    <row r="705" spans="1:6" x14ac:dyDescent="0.25">
      <c r="A705">
        <v>3572158</v>
      </c>
      <c r="B705" t="s">
        <v>724</v>
      </c>
      <c r="C705" t="str">
        <f>"9783486566093"</f>
        <v>9783486566093</v>
      </c>
      <c r="D705" t="str">
        <f>"9783486832969"</f>
        <v>9783486832969</v>
      </c>
      <c r="E705" t="s">
        <v>73</v>
      </c>
      <c r="F705" s="1">
        <v>37314</v>
      </c>
    </row>
    <row r="706" spans="1:6" x14ac:dyDescent="0.25">
      <c r="A706">
        <v>3572173</v>
      </c>
      <c r="B706" t="s">
        <v>725</v>
      </c>
      <c r="C706" t="str">
        <f>"9783486566833"</f>
        <v>9783486566833</v>
      </c>
      <c r="D706" t="str">
        <f>"9783486833584"</f>
        <v>9783486833584</v>
      </c>
      <c r="E706" t="s">
        <v>73</v>
      </c>
      <c r="F706" s="1">
        <v>37489</v>
      </c>
    </row>
    <row r="707" spans="1:6" x14ac:dyDescent="0.25">
      <c r="A707">
        <v>3572221</v>
      </c>
      <c r="B707" t="s">
        <v>726</v>
      </c>
      <c r="C707" t="str">
        <f>"9783110288315"</f>
        <v>9783110288315</v>
      </c>
      <c r="D707" t="str">
        <f>"9783110288384"</f>
        <v>9783110288384</v>
      </c>
      <c r="E707" t="s">
        <v>53</v>
      </c>
      <c r="F707" s="1">
        <v>41785</v>
      </c>
    </row>
    <row r="708" spans="1:6" x14ac:dyDescent="0.25">
      <c r="A708">
        <v>3572232</v>
      </c>
      <c r="B708" t="s">
        <v>727</v>
      </c>
      <c r="C708" t="str">
        <f>"9783110299298"</f>
        <v>9783110299298</v>
      </c>
      <c r="D708" t="str">
        <f>"9783110299557"</f>
        <v>9783110299557</v>
      </c>
      <c r="E708" t="s">
        <v>53</v>
      </c>
      <c r="F708" s="1">
        <v>41806</v>
      </c>
    </row>
    <row r="709" spans="1:6" x14ac:dyDescent="0.25">
      <c r="A709">
        <v>3572248</v>
      </c>
      <c r="B709" t="s">
        <v>728</v>
      </c>
      <c r="C709" t="str">
        <f>"9783110309249"</f>
        <v>9783110309249</v>
      </c>
      <c r="D709" t="str">
        <f>"9783110311211"</f>
        <v>9783110311211</v>
      </c>
      <c r="E709" t="s">
        <v>53</v>
      </c>
      <c r="F709" s="1">
        <v>42181</v>
      </c>
    </row>
    <row r="710" spans="1:6" x14ac:dyDescent="0.25">
      <c r="A710">
        <v>3572250</v>
      </c>
      <c r="B710" t="s">
        <v>729</v>
      </c>
      <c r="C710" t="str">
        <f>"9783110350500"</f>
        <v>9783110350500</v>
      </c>
      <c r="D710" t="str">
        <f>"9783110350999"</f>
        <v>9783110350999</v>
      </c>
      <c r="E710" t="s">
        <v>53</v>
      </c>
      <c r="F710" s="1">
        <v>41820</v>
      </c>
    </row>
    <row r="711" spans="1:6" x14ac:dyDescent="0.25">
      <c r="A711">
        <v>3572268</v>
      </c>
      <c r="B711" t="s">
        <v>730</v>
      </c>
      <c r="C711" t="str">
        <f>"9783486591415"</f>
        <v>9783486591415</v>
      </c>
      <c r="D711" t="str">
        <f>"9783486989304"</f>
        <v>9783486989304</v>
      </c>
      <c r="E711" t="s">
        <v>73</v>
      </c>
      <c r="F711" s="1">
        <v>40366</v>
      </c>
    </row>
    <row r="712" spans="1:6" x14ac:dyDescent="0.25">
      <c r="A712">
        <v>3572321</v>
      </c>
      <c r="B712" t="s">
        <v>731</v>
      </c>
      <c r="C712" t="str">
        <f>"9783486597707"</f>
        <v>9783486597707</v>
      </c>
      <c r="D712" t="str">
        <f>"9783486989328"</f>
        <v>9783486989328</v>
      </c>
      <c r="E712" t="s">
        <v>73</v>
      </c>
      <c r="F712" s="1">
        <v>40436</v>
      </c>
    </row>
    <row r="713" spans="1:6" x14ac:dyDescent="0.25">
      <c r="A713">
        <v>3572329</v>
      </c>
      <c r="B713" t="s">
        <v>732</v>
      </c>
      <c r="C713" t="str">
        <f>"9783486709414"</f>
        <v>9783486709414</v>
      </c>
      <c r="D713" t="str">
        <f>"9783486989342"</f>
        <v>9783486989342</v>
      </c>
      <c r="E713" t="s">
        <v>73</v>
      </c>
      <c r="F713" s="1">
        <v>41192</v>
      </c>
    </row>
    <row r="714" spans="1:6" x14ac:dyDescent="0.25">
      <c r="A714">
        <v>3572330</v>
      </c>
      <c r="B714" t="s">
        <v>733</v>
      </c>
      <c r="C714" t="str">
        <f>"9783486566840"</f>
        <v>9783486566840</v>
      </c>
      <c r="D714" t="str">
        <f>"9783486833607"</f>
        <v>9783486833607</v>
      </c>
      <c r="E714" t="s">
        <v>73</v>
      </c>
      <c r="F714" s="1">
        <v>37735</v>
      </c>
    </row>
    <row r="715" spans="1:6" x14ac:dyDescent="0.25">
      <c r="A715">
        <v>3572396</v>
      </c>
      <c r="B715" t="s">
        <v>734</v>
      </c>
      <c r="C715" t="str">
        <f>"9783486568332"</f>
        <v>9783486568332</v>
      </c>
      <c r="D715" t="str">
        <f>"9783486835427"</f>
        <v>9783486835427</v>
      </c>
      <c r="E715" t="s">
        <v>73</v>
      </c>
      <c r="F715" s="1">
        <v>38112</v>
      </c>
    </row>
    <row r="716" spans="1:6" x14ac:dyDescent="0.25">
      <c r="A716">
        <v>3572401</v>
      </c>
      <c r="B716" t="s">
        <v>735</v>
      </c>
      <c r="C716" t="str">
        <f>"9783486575637"</f>
        <v>9783486575637</v>
      </c>
      <c r="D716" t="str">
        <f>"9783486835748"</f>
        <v>9783486835748</v>
      </c>
      <c r="E716" t="s">
        <v>73</v>
      </c>
      <c r="F716" s="1">
        <v>38420</v>
      </c>
    </row>
    <row r="717" spans="1:6" x14ac:dyDescent="0.25">
      <c r="A717">
        <v>3572403</v>
      </c>
      <c r="B717" t="s">
        <v>736</v>
      </c>
      <c r="C717" t="str">
        <f>"9783486568295"</f>
        <v>9783486568295</v>
      </c>
      <c r="D717" t="str">
        <f>"9783486835380"</f>
        <v>9783486835380</v>
      </c>
      <c r="E717" t="s">
        <v>73</v>
      </c>
      <c r="F717" s="1">
        <v>38175</v>
      </c>
    </row>
    <row r="718" spans="1:6" x14ac:dyDescent="0.25">
      <c r="A718">
        <v>3572439</v>
      </c>
      <c r="B718" t="s">
        <v>737</v>
      </c>
      <c r="C718" t="str">
        <f>"9783110403725"</f>
        <v>9783110403725</v>
      </c>
      <c r="D718" t="str">
        <f>"9783110403732"</f>
        <v>9783110403732</v>
      </c>
      <c r="E718" t="s">
        <v>73</v>
      </c>
      <c r="F718" s="1">
        <v>42215</v>
      </c>
    </row>
    <row r="719" spans="1:6" x14ac:dyDescent="0.25">
      <c r="A719">
        <v>3572440</v>
      </c>
      <c r="B719" t="s">
        <v>738</v>
      </c>
      <c r="C719" t="str">
        <f>"9783110441109"</f>
        <v>9783110441109</v>
      </c>
      <c r="D719" t="str">
        <f>"9783110441116"</f>
        <v>9783110441116</v>
      </c>
      <c r="E719" t="s">
        <v>73</v>
      </c>
      <c r="F719" s="1">
        <v>42209</v>
      </c>
    </row>
    <row r="720" spans="1:6" x14ac:dyDescent="0.25">
      <c r="A720">
        <v>4001766</v>
      </c>
      <c r="B720" t="s">
        <v>739</v>
      </c>
      <c r="C720" t="str">
        <f>"9783110443325"</f>
        <v>9783110443325</v>
      </c>
      <c r="D720" t="str">
        <f>"9783110443882"</f>
        <v>9783110443882</v>
      </c>
      <c r="E720" t="s">
        <v>73</v>
      </c>
      <c r="F720" s="1">
        <v>42244</v>
      </c>
    </row>
    <row r="721" spans="1:6" x14ac:dyDescent="0.25">
      <c r="A721">
        <v>4001767</v>
      </c>
      <c r="B721" t="s">
        <v>740</v>
      </c>
      <c r="C721" t="str">
        <f>"9783110443332"</f>
        <v>9783110443332</v>
      </c>
      <c r="D721" t="str">
        <f>"9783110443905"</f>
        <v>9783110443905</v>
      </c>
      <c r="E721" t="s">
        <v>73</v>
      </c>
      <c r="F721" s="1">
        <v>42244</v>
      </c>
    </row>
    <row r="722" spans="1:6" x14ac:dyDescent="0.25">
      <c r="A722">
        <v>4001768</v>
      </c>
      <c r="B722" t="s">
        <v>741</v>
      </c>
      <c r="C722" t="str">
        <f>"9783110443349"</f>
        <v>9783110443349</v>
      </c>
      <c r="D722" t="str">
        <f>"9783110443929"</f>
        <v>9783110443929</v>
      </c>
      <c r="E722" t="s">
        <v>73</v>
      </c>
      <c r="F722" s="1">
        <v>42244</v>
      </c>
    </row>
    <row r="723" spans="1:6" x14ac:dyDescent="0.25">
      <c r="A723">
        <v>4002133</v>
      </c>
      <c r="B723" t="s">
        <v>742</v>
      </c>
      <c r="C723" t="str">
        <f>"9783110371741"</f>
        <v>9783110371741</v>
      </c>
      <c r="D723" t="str">
        <f>"9783110371758"</f>
        <v>9783110371758</v>
      </c>
      <c r="E723" t="s">
        <v>53</v>
      </c>
      <c r="F723" s="1">
        <v>42244</v>
      </c>
    </row>
    <row r="724" spans="1:6" x14ac:dyDescent="0.25">
      <c r="A724">
        <v>4002169</v>
      </c>
      <c r="B724" t="s">
        <v>743</v>
      </c>
      <c r="C724" t="str">
        <f>"9788376560786"</f>
        <v>9788376560786</v>
      </c>
      <c r="D724" t="str">
        <f>"9788376560793"</f>
        <v>9788376560793</v>
      </c>
      <c r="E724" t="s">
        <v>73</v>
      </c>
      <c r="F724" s="1">
        <v>41670</v>
      </c>
    </row>
    <row r="725" spans="1:6" x14ac:dyDescent="0.25">
      <c r="A725">
        <v>4002241</v>
      </c>
      <c r="B725" t="s">
        <v>744</v>
      </c>
      <c r="C725" t="str">
        <f>"9783486597691"</f>
        <v>9783486597691</v>
      </c>
      <c r="D725" t="str">
        <f>"9783486989311"</f>
        <v>9783486989311</v>
      </c>
      <c r="E725" t="s">
        <v>73</v>
      </c>
      <c r="F725" s="1">
        <v>40457</v>
      </c>
    </row>
    <row r="726" spans="1:6" x14ac:dyDescent="0.25">
      <c r="A726">
        <v>4002338</v>
      </c>
      <c r="B726" t="s">
        <v>745</v>
      </c>
      <c r="C726" t="str">
        <f>"9783486566086"</f>
        <v>9783486566086</v>
      </c>
      <c r="D726" t="str">
        <f>"9783486832945"</f>
        <v>9783486832945</v>
      </c>
      <c r="E726" t="s">
        <v>73</v>
      </c>
      <c r="F726" s="1">
        <v>37230</v>
      </c>
    </row>
    <row r="727" spans="1:6" x14ac:dyDescent="0.25">
      <c r="A727">
        <v>4002798</v>
      </c>
      <c r="B727" t="s">
        <v>746</v>
      </c>
      <c r="C727" t="str">
        <f>"9783110060058"</f>
        <v>9783110060058</v>
      </c>
      <c r="D727" t="str">
        <f>"9783110888225"</f>
        <v>9783110888225</v>
      </c>
      <c r="E727" t="s">
        <v>53</v>
      </c>
      <c r="F727" s="1">
        <v>27515</v>
      </c>
    </row>
    <row r="728" spans="1:6" x14ac:dyDescent="0.25">
      <c r="A728">
        <v>4006785</v>
      </c>
      <c r="B728" t="s">
        <v>747</v>
      </c>
      <c r="C728" t="str">
        <f>"9783110266337"</f>
        <v>9783110266337</v>
      </c>
      <c r="D728" t="str">
        <f>"9783110266344"</f>
        <v>9783110266344</v>
      </c>
      <c r="E728" t="s">
        <v>53</v>
      </c>
      <c r="F728" s="1">
        <v>41197</v>
      </c>
    </row>
    <row r="729" spans="1:6" x14ac:dyDescent="0.25">
      <c r="A729">
        <v>4006786</v>
      </c>
      <c r="B729" t="s">
        <v>748</v>
      </c>
      <c r="C729" t="str">
        <f>"9783110265934"</f>
        <v>9783110265934</v>
      </c>
      <c r="D729" t="str">
        <f>"9783110266429"</f>
        <v>9783110266429</v>
      </c>
      <c r="E729" t="s">
        <v>53</v>
      </c>
      <c r="F729" s="1">
        <v>41197</v>
      </c>
    </row>
    <row r="730" spans="1:6" x14ac:dyDescent="0.25">
      <c r="A730">
        <v>4006817</v>
      </c>
      <c r="B730" t="s">
        <v>749</v>
      </c>
      <c r="C730" t="str">
        <f>"9783110376197"</f>
        <v>9783110376197</v>
      </c>
      <c r="D730" t="str">
        <f>"9783110376616"</f>
        <v>9783110376616</v>
      </c>
      <c r="E730" t="s">
        <v>53</v>
      </c>
      <c r="F730" s="1">
        <v>42272</v>
      </c>
    </row>
    <row r="731" spans="1:6" x14ac:dyDescent="0.25">
      <c r="A731">
        <v>4006855</v>
      </c>
      <c r="B731" t="s">
        <v>750</v>
      </c>
      <c r="C731" t="str">
        <f>"9783110406511"</f>
        <v>9783110406511</v>
      </c>
      <c r="D731" t="str">
        <f>"9783110440362"</f>
        <v>9783110440362</v>
      </c>
      <c r="E731" t="s">
        <v>53</v>
      </c>
      <c r="F731" s="1">
        <v>42272</v>
      </c>
    </row>
    <row r="732" spans="1:6" x14ac:dyDescent="0.25">
      <c r="A732">
        <v>4008258</v>
      </c>
      <c r="B732" t="s">
        <v>751</v>
      </c>
      <c r="C732" t="str">
        <f>"9783598116155"</f>
        <v>9783598116155</v>
      </c>
      <c r="D732" t="str">
        <f>"9783110967951"</f>
        <v>9783110967951</v>
      </c>
      <c r="E732" t="s">
        <v>73</v>
      </c>
      <c r="F732" s="1">
        <v>37606</v>
      </c>
    </row>
    <row r="733" spans="1:6" x14ac:dyDescent="0.25">
      <c r="A733">
        <v>4008259</v>
      </c>
      <c r="B733" t="s">
        <v>752</v>
      </c>
      <c r="C733" t="str">
        <f>"9783598116216"</f>
        <v>9783598116216</v>
      </c>
      <c r="D733" t="str">
        <f>"9783110949995"</f>
        <v>9783110949995</v>
      </c>
      <c r="E733" t="s">
        <v>53</v>
      </c>
      <c r="F733" s="1">
        <v>37608</v>
      </c>
    </row>
    <row r="734" spans="1:6" x14ac:dyDescent="0.25">
      <c r="A734">
        <v>4008734</v>
      </c>
      <c r="B734" t="s">
        <v>753</v>
      </c>
      <c r="C734" t="str">
        <f>"9783899494372"</f>
        <v>9783899494372</v>
      </c>
      <c r="D734" t="str">
        <f>"9783110977097"</f>
        <v>9783110977097</v>
      </c>
      <c r="E734" t="s">
        <v>53</v>
      </c>
      <c r="F734" s="1">
        <v>39566</v>
      </c>
    </row>
    <row r="735" spans="1:6" x14ac:dyDescent="0.25">
      <c r="A735">
        <v>4009290</v>
      </c>
      <c r="B735" t="s">
        <v>754</v>
      </c>
      <c r="C735" t="str">
        <f>"9783110414325"</f>
        <v>9783110414325</v>
      </c>
      <c r="D735" t="str">
        <f>"9783110419665"</f>
        <v>9783110419665</v>
      </c>
      <c r="E735" t="s">
        <v>53</v>
      </c>
      <c r="F735" s="1">
        <v>42167</v>
      </c>
    </row>
    <row r="736" spans="1:6" x14ac:dyDescent="0.25">
      <c r="A736">
        <v>4068092</v>
      </c>
      <c r="B736" t="s">
        <v>755</v>
      </c>
      <c r="C736" t="str">
        <f>"9783319216737"</f>
        <v>9783319216737</v>
      </c>
      <c r="D736" t="str">
        <f>"9783319216744"</f>
        <v>9783319216744</v>
      </c>
      <c r="E736" t="s">
        <v>756</v>
      </c>
      <c r="F736" s="1">
        <v>42303</v>
      </c>
    </row>
    <row r="737" spans="1:6" x14ac:dyDescent="0.25">
      <c r="A737">
        <v>4081643</v>
      </c>
      <c r="B737" t="s">
        <v>758</v>
      </c>
      <c r="C737" t="str">
        <f>"9783486560657"</f>
        <v>9783486560657</v>
      </c>
      <c r="D737" t="str">
        <f>"9783486718232"</f>
        <v>9783486718232</v>
      </c>
      <c r="E737" t="s">
        <v>73</v>
      </c>
      <c r="F737" s="1">
        <v>34647</v>
      </c>
    </row>
    <row r="738" spans="1:6" x14ac:dyDescent="0.25">
      <c r="A738">
        <v>4101871</v>
      </c>
      <c r="B738" t="s">
        <v>759</v>
      </c>
      <c r="C738" t="str">
        <f>"9783110452433"</f>
        <v>9783110452433</v>
      </c>
      <c r="D738" t="str">
        <f>"9783110452440"</f>
        <v>9783110452440</v>
      </c>
      <c r="E738" t="s">
        <v>73</v>
      </c>
      <c r="F738" s="1">
        <v>42247</v>
      </c>
    </row>
    <row r="739" spans="1:6" x14ac:dyDescent="0.25">
      <c r="A739">
        <v>4179732</v>
      </c>
      <c r="B739" t="s">
        <v>760</v>
      </c>
      <c r="C739" t="str">
        <f>"9783110438284"</f>
        <v>9783110438284</v>
      </c>
      <c r="D739" t="str">
        <f>"9783110438291"</f>
        <v>9783110438291</v>
      </c>
      <c r="E739" t="s">
        <v>73</v>
      </c>
      <c r="F739" s="1">
        <v>42422</v>
      </c>
    </row>
    <row r="740" spans="1:6" x14ac:dyDescent="0.25">
      <c r="A740">
        <v>4179733</v>
      </c>
      <c r="B740" t="s">
        <v>761</v>
      </c>
      <c r="C740" t="str">
        <f>"9783110439724"</f>
        <v>9783110439724</v>
      </c>
      <c r="D740" t="str">
        <f>"9783110439731"</f>
        <v>9783110439731</v>
      </c>
      <c r="E740" t="s">
        <v>73</v>
      </c>
      <c r="F740" s="1">
        <v>42261</v>
      </c>
    </row>
    <row r="741" spans="1:6" x14ac:dyDescent="0.25">
      <c r="A741">
        <v>4179734</v>
      </c>
      <c r="B741" t="s">
        <v>762</v>
      </c>
      <c r="C741" t="str">
        <f>"9783110439748"</f>
        <v>9783110439748</v>
      </c>
      <c r="D741" t="str">
        <f>"9783110439755"</f>
        <v>9783110439755</v>
      </c>
      <c r="E741" t="s">
        <v>73</v>
      </c>
      <c r="F741" s="1">
        <v>42306</v>
      </c>
    </row>
    <row r="742" spans="1:6" x14ac:dyDescent="0.25">
      <c r="A742">
        <v>4179735</v>
      </c>
      <c r="B742" t="s">
        <v>763</v>
      </c>
      <c r="C742" t="str">
        <f>"9783110440164"</f>
        <v>9783110440164</v>
      </c>
      <c r="D742" t="str">
        <f>"9783110440171"</f>
        <v>9783110440171</v>
      </c>
      <c r="E742" t="s">
        <v>73</v>
      </c>
      <c r="F742" s="1">
        <v>42335</v>
      </c>
    </row>
    <row r="743" spans="1:6" x14ac:dyDescent="0.25">
      <c r="A743">
        <v>4179759</v>
      </c>
      <c r="B743" t="s">
        <v>764</v>
      </c>
      <c r="C743" t="str">
        <f>"9783110426830"</f>
        <v>9783110426830</v>
      </c>
      <c r="D743" t="str">
        <f>"9783110424713"</f>
        <v>9783110424713</v>
      </c>
      <c r="E743" t="s">
        <v>53</v>
      </c>
      <c r="F743" s="1">
        <v>42335</v>
      </c>
    </row>
    <row r="744" spans="1:6" x14ac:dyDescent="0.25">
      <c r="A744">
        <v>4179767</v>
      </c>
      <c r="B744" t="s">
        <v>765</v>
      </c>
      <c r="C744" t="str">
        <f>"9783110376340"</f>
        <v>9783110376340</v>
      </c>
      <c r="D744" t="str">
        <f>"9783110376357"</f>
        <v>9783110376357</v>
      </c>
      <c r="E744" t="s">
        <v>73</v>
      </c>
      <c r="F744" s="1">
        <v>42293</v>
      </c>
    </row>
    <row r="745" spans="1:6" x14ac:dyDescent="0.25">
      <c r="A745">
        <v>4179778</v>
      </c>
      <c r="B745" t="s">
        <v>766</v>
      </c>
      <c r="C745" t="str">
        <f>"9783110444124"</f>
        <v>9783110444124</v>
      </c>
      <c r="D745" t="str">
        <f>"9783110444414"</f>
        <v>9783110444414</v>
      </c>
      <c r="E745" t="s">
        <v>73</v>
      </c>
      <c r="F745" s="1">
        <v>42293</v>
      </c>
    </row>
    <row r="746" spans="1:6" x14ac:dyDescent="0.25">
      <c r="A746">
        <v>4179784</v>
      </c>
      <c r="B746" t="s">
        <v>767</v>
      </c>
      <c r="C746" t="str">
        <f>"9783110455304"</f>
        <v>9783110455304</v>
      </c>
      <c r="D746" t="str">
        <f>"9783110455311"</f>
        <v>9783110455311</v>
      </c>
      <c r="E746" t="s">
        <v>73</v>
      </c>
      <c r="F746" s="1">
        <v>42293</v>
      </c>
    </row>
    <row r="747" spans="1:6" x14ac:dyDescent="0.25">
      <c r="A747">
        <v>4179793</v>
      </c>
      <c r="B747" t="s">
        <v>768</v>
      </c>
      <c r="C747" t="str">
        <f>"9783110450545"</f>
        <v>9783110450545</v>
      </c>
      <c r="D747" t="str">
        <f>"9783110450552"</f>
        <v>9783110450552</v>
      </c>
      <c r="E747" t="s">
        <v>73</v>
      </c>
      <c r="F747" s="1">
        <v>42384</v>
      </c>
    </row>
    <row r="748" spans="1:6" x14ac:dyDescent="0.25">
      <c r="A748">
        <v>4179794</v>
      </c>
      <c r="B748" t="s">
        <v>769</v>
      </c>
      <c r="C748" t="str">
        <f>"9783110450569"</f>
        <v>9783110450569</v>
      </c>
      <c r="D748" t="str">
        <f>"9783110450576"</f>
        <v>9783110450576</v>
      </c>
      <c r="E748" t="s">
        <v>73</v>
      </c>
      <c r="F748" s="1">
        <v>42398</v>
      </c>
    </row>
    <row r="749" spans="1:6" x14ac:dyDescent="0.25">
      <c r="A749">
        <v>4179795</v>
      </c>
      <c r="B749" t="s">
        <v>770</v>
      </c>
      <c r="C749" t="str">
        <f>"9783110455397"</f>
        <v>9783110455397</v>
      </c>
      <c r="D749" t="str">
        <f>"9783110455403"</f>
        <v>9783110455403</v>
      </c>
      <c r="E749" t="s">
        <v>73</v>
      </c>
      <c r="F749" s="1">
        <v>42422</v>
      </c>
    </row>
    <row r="750" spans="1:6" x14ac:dyDescent="0.25">
      <c r="A750">
        <v>4179796</v>
      </c>
      <c r="B750" t="s">
        <v>771</v>
      </c>
      <c r="C750" t="str">
        <f>"9783110468236"</f>
        <v>9783110468236</v>
      </c>
      <c r="D750" t="str">
        <f>"9783110468243"</f>
        <v>9783110468243</v>
      </c>
      <c r="E750" t="s">
        <v>73</v>
      </c>
      <c r="F750" s="1">
        <v>42422</v>
      </c>
    </row>
    <row r="751" spans="1:6" x14ac:dyDescent="0.25">
      <c r="A751">
        <v>4191088</v>
      </c>
      <c r="B751" t="s">
        <v>772</v>
      </c>
      <c r="C751" t="str">
        <f>"9783110415155"</f>
        <v>9783110415155</v>
      </c>
      <c r="D751" t="str">
        <f>"9783110415162"</f>
        <v>9783110415162</v>
      </c>
      <c r="E751" t="s">
        <v>73</v>
      </c>
      <c r="F751" s="1">
        <v>42335</v>
      </c>
    </row>
    <row r="752" spans="1:6" x14ac:dyDescent="0.25">
      <c r="A752">
        <v>4230646</v>
      </c>
      <c r="B752" t="s">
        <v>773</v>
      </c>
      <c r="C752" t="str">
        <f>"9783110417913"</f>
        <v>9783110417913</v>
      </c>
      <c r="D752" t="str">
        <f>"9783110417920"</f>
        <v>9783110417920</v>
      </c>
      <c r="E752" t="s">
        <v>53</v>
      </c>
      <c r="F752" s="1">
        <v>42356</v>
      </c>
    </row>
    <row r="753" spans="1:6" x14ac:dyDescent="0.25">
      <c r="A753">
        <v>4230873</v>
      </c>
      <c r="B753" t="s">
        <v>774</v>
      </c>
      <c r="C753" t="str">
        <f>"9783110442779"</f>
        <v>9783110442779</v>
      </c>
      <c r="D753" t="str">
        <f>"9783110436730"</f>
        <v>9783110436730</v>
      </c>
      <c r="E753" t="s">
        <v>73</v>
      </c>
      <c r="F753" s="1">
        <v>42352</v>
      </c>
    </row>
    <row r="754" spans="1:6" x14ac:dyDescent="0.25">
      <c r="A754">
        <v>4332907</v>
      </c>
      <c r="B754" t="s">
        <v>775</v>
      </c>
      <c r="C754" t="str">
        <f>"9783110438659"</f>
        <v>9783110438659</v>
      </c>
      <c r="D754" t="str">
        <f>"9783110438666"</f>
        <v>9783110438666</v>
      </c>
      <c r="E754" t="s">
        <v>73</v>
      </c>
      <c r="F754" s="1">
        <v>42388</v>
      </c>
    </row>
    <row r="755" spans="1:6" x14ac:dyDescent="0.25">
      <c r="A755">
        <v>4332915</v>
      </c>
      <c r="B755" t="s">
        <v>776</v>
      </c>
      <c r="C755" t="str">
        <f>"9783110450514"</f>
        <v>9783110450514</v>
      </c>
      <c r="D755" t="str">
        <f>"9783110450521"</f>
        <v>9783110450521</v>
      </c>
      <c r="E755" t="s">
        <v>73</v>
      </c>
      <c r="F755" s="1">
        <v>42398</v>
      </c>
    </row>
    <row r="756" spans="1:6" x14ac:dyDescent="0.25">
      <c r="A756">
        <v>4332916</v>
      </c>
      <c r="B756" t="s">
        <v>777</v>
      </c>
      <c r="C756" t="str">
        <f>"9783110450491"</f>
        <v>9783110450491</v>
      </c>
      <c r="D756" t="str">
        <f>"9783110450507"</f>
        <v>9783110450507</v>
      </c>
      <c r="E756" t="s">
        <v>73</v>
      </c>
      <c r="F756" s="1">
        <v>42353</v>
      </c>
    </row>
    <row r="757" spans="1:6" x14ac:dyDescent="0.25">
      <c r="A757">
        <v>4332917</v>
      </c>
      <c r="B757" t="s">
        <v>778</v>
      </c>
      <c r="C757" t="str">
        <f>"9783110467994"</f>
        <v>9783110467994</v>
      </c>
      <c r="D757" t="str">
        <f>"9783110468007"</f>
        <v>9783110468007</v>
      </c>
      <c r="E757" t="s">
        <v>73</v>
      </c>
      <c r="F757" s="1">
        <v>42422</v>
      </c>
    </row>
    <row r="758" spans="1:6" x14ac:dyDescent="0.25">
      <c r="A758">
        <v>4332918</v>
      </c>
      <c r="B758" t="s">
        <v>779</v>
      </c>
      <c r="C758" t="str">
        <f>"9783110471199"</f>
        <v>9783110471199</v>
      </c>
      <c r="D758" t="str">
        <f>"9783110471243"</f>
        <v>9783110471243</v>
      </c>
      <c r="E758" t="s">
        <v>73</v>
      </c>
      <c r="F758" s="1">
        <v>42422</v>
      </c>
    </row>
    <row r="759" spans="1:6" x14ac:dyDescent="0.25">
      <c r="A759">
        <v>4332919</v>
      </c>
      <c r="B759" t="s">
        <v>780</v>
      </c>
      <c r="C759" t="str">
        <f>"9783110472080"</f>
        <v>9783110472080</v>
      </c>
      <c r="D759" t="str">
        <f>"9783110472097"</f>
        <v>9783110472097</v>
      </c>
      <c r="E759" t="s">
        <v>73</v>
      </c>
      <c r="F759" s="1">
        <v>42384</v>
      </c>
    </row>
    <row r="760" spans="1:6" x14ac:dyDescent="0.25">
      <c r="A760">
        <v>4338415</v>
      </c>
      <c r="B760" t="s">
        <v>781</v>
      </c>
      <c r="C760" t="str">
        <f>"9781614517122"</f>
        <v>9781614517122</v>
      </c>
      <c r="D760" t="str">
        <f>"9781501501890"</f>
        <v>9781501501890</v>
      </c>
      <c r="E760" t="s">
        <v>53</v>
      </c>
      <c r="F760" s="1">
        <v>42360</v>
      </c>
    </row>
    <row r="761" spans="1:6" x14ac:dyDescent="0.25">
      <c r="A761">
        <v>4338432</v>
      </c>
      <c r="B761" t="s">
        <v>782</v>
      </c>
      <c r="C761" t="str">
        <f>"9783110335040"</f>
        <v>9783110335040</v>
      </c>
      <c r="D761" t="str">
        <f>"9783110345933"</f>
        <v>9783110345933</v>
      </c>
      <c r="E761" t="s">
        <v>53</v>
      </c>
      <c r="F761" s="1">
        <v>42384</v>
      </c>
    </row>
    <row r="762" spans="1:6" x14ac:dyDescent="0.25">
      <c r="A762">
        <v>4338464</v>
      </c>
      <c r="B762" t="s">
        <v>783</v>
      </c>
      <c r="C762" t="str">
        <f>"9783110406351"</f>
        <v>9783110406351</v>
      </c>
      <c r="D762" t="str">
        <f>"9783110406542"</f>
        <v>9783110406542</v>
      </c>
      <c r="E762" t="s">
        <v>53</v>
      </c>
      <c r="F762" s="1">
        <v>42306</v>
      </c>
    </row>
    <row r="763" spans="1:6" x14ac:dyDescent="0.25">
      <c r="A763">
        <v>4338470</v>
      </c>
      <c r="B763" t="s">
        <v>784</v>
      </c>
      <c r="C763" t="str">
        <f>"9783110409437"</f>
        <v>9783110409437</v>
      </c>
      <c r="D763" t="str">
        <f>"9783110411362"</f>
        <v>9783110411362</v>
      </c>
      <c r="E763" t="s">
        <v>53</v>
      </c>
      <c r="F763" s="1">
        <v>42321</v>
      </c>
    </row>
    <row r="764" spans="1:6" x14ac:dyDescent="0.25">
      <c r="A764">
        <v>4340047</v>
      </c>
      <c r="B764" t="s">
        <v>785</v>
      </c>
      <c r="C764" t="str">
        <f>"9781783740338"</f>
        <v>9781783740338</v>
      </c>
      <c r="D764" t="str">
        <f>"9781783740345"</f>
        <v>9781783740345</v>
      </c>
      <c r="E764" t="s">
        <v>580</v>
      </c>
      <c r="F764" s="1">
        <v>42331</v>
      </c>
    </row>
    <row r="765" spans="1:6" x14ac:dyDescent="0.25">
      <c r="A765">
        <v>4340048</v>
      </c>
      <c r="B765" t="s">
        <v>786</v>
      </c>
      <c r="C765" t="str">
        <f>"9781783741892"</f>
        <v>9781783741892</v>
      </c>
      <c r="D765" t="str">
        <f>"9781783741908"</f>
        <v>9781783741908</v>
      </c>
      <c r="E765" t="s">
        <v>580</v>
      </c>
      <c r="F765" s="1">
        <v>42353</v>
      </c>
    </row>
    <row r="766" spans="1:6" x14ac:dyDescent="0.25">
      <c r="A766">
        <v>4340049</v>
      </c>
      <c r="B766" t="s">
        <v>787</v>
      </c>
      <c r="C766" t="str">
        <f>"9781783741946"</f>
        <v>9781783741946</v>
      </c>
      <c r="D766" t="str">
        <f>"9781783741953"</f>
        <v>9781783741953</v>
      </c>
      <c r="E766" t="s">
        <v>580</v>
      </c>
      <c r="F766" s="1">
        <v>42323</v>
      </c>
    </row>
    <row r="767" spans="1:6" x14ac:dyDescent="0.25">
      <c r="A767">
        <v>4340050</v>
      </c>
      <c r="B767" t="s">
        <v>788</v>
      </c>
      <c r="C767" t="str">
        <f>"9781783742042"</f>
        <v>9781783742042</v>
      </c>
      <c r="D767" t="str">
        <f>"9781783742059"</f>
        <v>9781783742059</v>
      </c>
      <c r="E767" t="s">
        <v>580</v>
      </c>
      <c r="F767" s="1">
        <v>42373</v>
      </c>
    </row>
    <row r="768" spans="1:6" x14ac:dyDescent="0.25">
      <c r="A768">
        <v>4355092</v>
      </c>
      <c r="B768" t="s">
        <v>789</v>
      </c>
      <c r="C768" t="str">
        <f>"9781439912706"</f>
        <v>9781439912706</v>
      </c>
      <c r="D768" t="str">
        <f>"9781439912720"</f>
        <v>9781439912720</v>
      </c>
      <c r="E768" t="s">
        <v>47</v>
      </c>
      <c r="F768" s="1">
        <v>42401</v>
      </c>
    </row>
    <row r="769" spans="1:6" x14ac:dyDescent="0.25">
      <c r="A769">
        <v>4355749</v>
      </c>
      <c r="B769" t="s">
        <v>790</v>
      </c>
      <c r="C769" t="str">
        <f>"9783110468748"</f>
        <v>9783110468748</v>
      </c>
      <c r="D769" t="str">
        <f>"9783110468755"</f>
        <v>9783110468755</v>
      </c>
      <c r="E769" t="s">
        <v>73</v>
      </c>
      <c r="F769" s="1">
        <v>42422</v>
      </c>
    </row>
    <row r="770" spans="1:6" x14ac:dyDescent="0.25">
      <c r="A770">
        <v>4386693</v>
      </c>
      <c r="B770" t="s">
        <v>791</v>
      </c>
      <c r="C770" t="str">
        <f>"9781783741687"</f>
        <v>9781783741687</v>
      </c>
      <c r="D770" t="str">
        <f>"9781783741694"</f>
        <v>9781783741694</v>
      </c>
      <c r="E770" t="s">
        <v>580</v>
      </c>
      <c r="F770" s="1">
        <v>42285</v>
      </c>
    </row>
    <row r="771" spans="1:6" x14ac:dyDescent="0.25">
      <c r="A771">
        <v>4386694</v>
      </c>
      <c r="B771" t="s">
        <v>792</v>
      </c>
      <c r="C771" t="str">
        <f>"9781783741731"</f>
        <v>9781783741731</v>
      </c>
      <c r="D771" t="str">
        <f>"9781783741748"</f>
        <v>9781783741748</v>
      </c>
      <c r="E771" t="s">
        <v>580</v>
      </c>
      <c r="F771" s="1">
        <v>42248</v>
      </c>
    </row>
    <row r="772" spans="1:6" x14ac:dyDescent="0.25">
      <c r="A772">
        <v>4386695</v>
      </c>
      <c r="B772" t="s">
        <v>793</v>
      </c>
      <c r="C772" t="str">
        <f>"9781783741533"</f>
        <v>9781783741533</v>
      </c>
      <c r="D772" t="str">
        <f>"9781783741540"</f>
        <v>9781783741540</v>
      </c>
      <c r="E772" t="s">
        <v>580</v>
      </c>
      <c r="F772" s="1">
        <v>42233</v>
      </c>
    </row>
    <row r="773" spans="1:6" x14ac:dyDescent="0.25">
      <c r="A773">
        <v>4386696</v>
      </c>
      <c r="B773" t="s">
        <v>794</v>
      </c>
      <c r="C773" t="str">
        <f>"9781783740987"</f>
        <v>9781783740987</v>
      </c>
      <c r="D773" t="str">
        <f>"9781783740994"</f>
        <v>9781783740994</v>
      </c>
      <c r="E773" t="s">
        <v>580</v>
      </c>
      <c r="F773" s="1">
        <v>42242</v>
      </c>
    </row>
    <row r="774" spans="1:6" x14ac:dyDescent="0.25">
      <c r="A774">
        <v>4386697</v>
      </c>
      <c r="B774" t="s">
        <v>795</v>
      </c>
      <c r="C774" t="str">
        <f>"9781783741038"</f>
        <v>9781783741038</v>
      </c>
      <c r="D774" t="str">
        <f>"9781783741045"</f>
        <v>9781783741045</v>
      </c>
      <c r="E774" t="s">
        <v>580</v>
      </c>
      <c r="F774" s="1">
        <v>42282</v>
      </c>
    </row>
    <row r="775" spans="1:6" x14ac:dyDescent="0.25">
      <c r="A775">
        <v>4386698</v>
      </c>
      <c r="B775" t="s">
        <v>796</v>
      </c>
      <c r="C775" t="str">
        <f>"9781783741335"</f>
        <v>9781783741335</v>
      </c>
      <c r="D775" t="str">
        <f>"9781783741342"</f>
        <v>9781783741342</v>
      </c>
      <c r="E775" t="s">
        <v>580</v>
      </c>
      <c r="F775" s="1">
        <v>42282</v>
      </c>
    </row>
    <row r="776" spans="1:6" x14ac:dyDescent="0.25">
      <c r="A776">
        <v>4386926</v>
      </c>
      <c r="B776" t="s">
        <v>797</v>
      </c>
      <c r="C776" t="str">
        <f>"9781439912768"</f>
        <v>9781439912768</v>
      </c>
      <c r="D776" t="str">
        <f>"9781439912782"</f>
        <v>9781439912782</v>
      </c>
      <c r="E776" t="s">
        <v>47</v>
      </c>
      <c r="F776" s="1">
        <v>42429</v>
      </c>
    </row>
    <row r="777" spans="1:6" x14ac:dyDescent="0.25">
      <c r="A777">
        <v>4391547</v>
      </c>
      <c r="B777" t="s">
        <v>798</v>
      </c>
      <c r="C777" t="str">
        <f>"9781783741427"</f>
        <v>9781783741427</v>
      </c>
      <c r="D777" t="str">
        <f>"9781783741441"</f>
        <v>9781783741441</v>
      </c>
      <c r="E777" t="s">
        <v>580</v>
      </c>
      <c r="F777" s="1">
        <v>42394</v>
      </c>
    </row>
    <row r="778" spans="1:6" x14ac:dyDescent="0.25">
      <c r="A778">
        <v>4391548</v>
      </c>
      <c r="B778" t="s">
        <v>799</v>
      </c>
      <c r="C778" t="str">
        <f>"9781783741991"</f>
        <v>9781783741991</v>
      </c>
      <c r="D778" t="str">
        <f>"9781783742004"</f>
        <v>9781783742004</v>
      </c>
      <c r="E778" t="s">
        <v>580</v>
      </c>
      <c r="F778" s="1">
        <v>42387</v>
      </c>
    </row>
    <row r="779" spans="1:6" x14ac:dyDescent="0.25">
      <c r="A779">
        <v>4391550</v>
      </c>
      <c r="B779" t="s">
        <v>800</v>
      </c>
      <c r="C779" t="str">
        <f>"9781909254961"</f>
        <v>9781909254961</v>
      </c>
      <c r="D779" t="str">
        <f>"9781909254978"</f>
        <v>9781909254978</v>
      </c>
      <c r="E779" t="s">
        <v>580</v>
      </c>
      <c r="F779" s="1">
        <v>42401</v>
      </c>
    </row>
    <row r="780" spans="1:6" x14ac:dyDescent="0.25">
      <c r="A780">
        <v>4391574</v>
      </c>
      <c r="B780" t="s">
        <v>801</v>
      </c>
      <c r="C780" t="str">
        <f>"9789089648075"</f>
        <v>9789089648075</v>
      </c>
      <c r="D780" t="str">
        <f>"9789048526390"</f>
        <v>9789048526390</v>
      </c>
      <c r="E780" t="s">
        <v>59</v>
      </c>
      <c r="F780" s="1">
        <v>42194</v>
      </c>
    </row>
    <row r="781" spans="1:6" x14ac:dyDescent="0.25">
      <c r="A781">
        <v>4391575</v>
      </c>
      <c r="B781" t="s">
        <v>802</v>
      </c>
      <c r="C781" t="str">
        <f>"9789089647559"</f>
        <v>9789089647559</v>
      </c>
      <c r="D781" t="str">
        <f>"9789048525294"</f>
        <v>9789048525294</v>
      </c>
      <c r="E781" t="s">
        <v>59</v>
      </c>
      <c r="F781" s="1">
        <v>42318</v>
      </c>
    </row>
    <row r="782" spans="1:6" x14ac:dyDescent="0.25">
      <c r="A782">
        <v>4391582</v>
      </c>
      <c r="B782" t="s">
        <v>803</v>
      </c>
      <c r="C782" t="str">
        <f>"9789089647597"</f>
        <v>9789089647597</v>
      </c>
      <c r="D782" t="str">
        <f>"9789048525386"</f>
        <v>9789048525386</v>
      </c>
      <c r="E782" t="s">
        <v>59</v>
      </c>
      <c r="F782" s="1">
        <v>42258</v>
      </c>
    </row>
    <row r="783" spans="1:6" x14ac:dyDescent="0.25">
      <c r="A783">
        <v>4391593</v>
      </c>
      <c r="B783" t="s">
        <v>804</v>
      </c>
      <c r="C783" t="str">
        <f>"9789089647412"</f>
        <v>9789089647412</v>
      </c>
      <c r="D783" t="str">
        <f>"9789048524990"</f>
        <v>9789048524990</v>
      </c>
      <c r="E783" t="s">
        <v>59</v>
      </c>
      <c r="F783" s="1">
        <v>42083</v>
      </c>
    </row>
    <row r="784" spans="1:6" x14ac:dyDescent="0.25">
      <c r="A784">
        <v>4391594</v>
      </c>
      <c r="B784" t="s">
        <v>805</v>
      </c>
      <c r="C784" t="str">
        <f>"9789089648594"</f>
        <v>9789089648594</v>
      </c>
      <c r="D784" t="str">
        <f>"9789048527144"</f>
        <v>9789048527144</v>
      </c>
      <c r="E784" t="s">
        <v>59</v>
      </c>
      <c r="F784" s="1">
        <v>42297</v>
      </c>
    </row>
    <row r="785" spans="1:6" x14ac:dyDescent="0.25">
      <c r="A785">
        <v>4391597</v>
      </c>
      <c r="B785" t="s">
        <v>806</v>
      </c>
      <c r="C785" t="str">
        <f>"9789089647481"</f>
        <v>9789089647481</v>
      </c>
      <c r="D785" t="str">
        <f>"9789048525157"</f>
        <v>9789048525157</v>
      </c>
      <c r="E785" t="s">
        <v>59</v>
      </c>
      <c r="F785" s="1">
        <v>42201</v>
      </c>
    </row>
    <row r="786" spans="1:6" x14ac:dyDescent="0.25">
      <c r="A786">
        <v>4391598</v>
      </c>
      <c r="B786" t="s">
        <v>807</v>
      </c>
      <c r="C786" t="str">
        <f>"9789089643780"</f>
        <v>9789089643780</v>
      </c>
      <c r="D786" t="str">
        <f>"9789048515257"</f>
        <v>9789048515257</v>
      </c>
      <c r="E786" t="s">
        <v>59</v>
      </c>
      <c r="F786" s="1">
        <v>42325</v>
      </c>
    </row>
    <row r="787" spans="1:6" x14ac:dyDescent="0.25">
      <c r="A787">
        <v>4391599</v>
      </c>
      <c r="B787" t="s">
        <v>808</v>
      </c>
      <c r="C787" t="str">
        <f>"9789089648334"</f>
        <v>9789089648334</v>
      </c>
      <c r="D787" t="str">
        <f>"9789048526819"</f>
        <v>9789048526819</v>
      </c>
      <c r="E787" t="s">
        <v>59</v>
      </c>
      <c r="F787" s="1">
        <v>42166</v>
      </c>
    </row>
    <row r="788" spans="1:6" x14ac:dyDescent="0.25">
      <c r="A788">
        <v>4396596</v>
      </c>
      <c r="B788" t="s">
        <v>809</v>
      </c>
      <c r="C788" t="str">
        <f>"9781438458632"</f>
        <v>9781438458632</v>
      </c>
      <c r="D788" t="str">
        <f>"9781438458656"</f>
        <v>9781438458656</v>
      </c>
      <c r="E788" t="s">
        <v>684</v>
      </c>
      <c r="F788" s="1">
        <v>42430</v>
      </c>
    </row>
    <row r="789" spans="1:6" x14ac:dyDescent="0.25">
      <c r="A789">
        <v>4401811</v>
      </c>
      <c r="B789" t="s">
        <v>810</v>
      </c>
      <c r="C789" t="str">
        <f>"9783110444278"</f>
        <v>9783110444278</v>
      </c>
      <c r="D789" t="str">
        <f>"9783110444285"</f>
        <v>9783110444285</v>
      </c>
      <c r="E789" t="s">
        <v>73</v>
      </c>
      <c r="F789" s="1">
        <v>42398</v>
      </c>
    </row>
    <row r="790" spans="1:6" x14ac:dyDescent="0.25">
      <c r="A790">
        <v>4401815</v>
      </c>
      <c r="B790" t="s">
        <v>811</v>
      </c>
      <c r="C790" t="str">
        <f>"9783110444063"</f>
        <v>9783110444063</v>
      </c>
      <c r="D790" t="str">
        <f>"9783110453959"</f>
        <v>9783110453959</v>
      </c>
      <c r="E790" t="s">
        <v>73</v>
      </c>
      <c r="F790" s="1">
        <v>42321</v>
      </c>
    </row>
    <row r="791" spans="1:6" x14ac:dyDescent="0.25">
      <c r="A791">
        <v>4412748</v>
      </c>
      <c r="B791" t="s">
        <v>812</v>
      </c>
      <c r="C791" t="str">
        <f>"9780822360773"</f>
        <v>9780822360773</v>
      </c>
      <c r="D791" t="str">
        <f>"9780822374541"</f>
        <v>9780822374541</v>
      </c>
      <c r="E791" t="s">
        <v>174</v>
      </c>
      <c r="F791" s="1">
        <v>42426</v>
      </c>
    </row>
    <row r="792" spans="1:6" x14ac:dyDescent="0.25">
      <c r="A792">
        <v>4412751</v>
      </c>
      <c r="B792" t="s">
        <v>813</v>
      </c>
      <c r="C792" t="str">
        <f>"9780822360292"</f>
        <v>9780822360292</v>
      </c>
      <c r="D792" t="str">
        <f>"9780822374701"</f>
        <v>9780822374701</v>
      </c>
      <c r="E792" t="s">
        <v>174</v>
      </c>
      <c r="F792" s="1">
        <v>42426</v>
      </c>
    </row>
    <row r="793" spans="1:6" x14ac:dyDescent="0.25">
      <c r="A793">
        <v>4412752</v>
      </c>
      <c r="B793" t="s">
        <v>814</v>
      </c>
      <c r="C793" t="str">
        <f>"9780822360278"</f>
        <v>9780822360278</v>
      </c>
      <c r="D793" t="str">
        <f>"9780822374725"</f>
        <v>9780822374725</v>
      </c>
      <c r="E793" t="s">
        <v>174</v>
      </c>
      <c r="F793" s="1">
        <v>42405</v>
      </c>
    </row>
    <row r="794" spans="1:6" x14ac:dyDescent="0.25">
      <c r="A794">
        <v>4412754</v>
      </c>
      <c r="B794" t="s">
        <v>815</v>
      </c>
      <c r="C794" t="str">
        <f>"9780822360209"</f>
        <v>9780822360209</v>
      </c>
      <c r="D794" t="str">
        <f>"9780822374848"</f>
        <v>9780822374848</v>
      </c>
      <c r="E794" t="s">
        <v>174</v>
      </c>
      <c r="F794" s="1">
        <v>42363</v>
      </c>
    </row>
    <row r="795" spans="1:6" x14ac:dyDescent="0.25">
      <c r="A795">
        <v>4412759</v>
      </c>
      <c r="B795" t="s">
        <v>816</v>
      </c>
      <c r="C795" t="str">
        <f>"9780822359852"</f>
        <v>9780822359852</v>
      </c>
      <c r="D795" t="str">
        <f>"9780822374954"</f>
        <v>9780822374954</v>
      </c>
      <c r="E795" t="s">
        <v>174</v>
      </c>
      <c r="F795" s="1">
        <v>42363</v>
      </c>
    </row>
    <row r="796" spans="1:6" x14ac:dyDescent="0.25">
      <c r="A796">
        <v>4420836</v>
      </c>
      <c r="B796" t="s">
        <v>817</v>
      </c>
      <c r="C796" t="str">
        <f>"9781438459172"</f>
        <v>9781438459172</v>
      </c>
      <c r="D796" t="str">
        <f>"9781438459189"</f>
        <v>9781438459189</v>
      </c>
      <c r="E796" t="s">
        <v>684</v>
      </c>
      <c r="F796" s="1">
        <v>42461</v>
      </c>
    </row>
    <row r="797" spans="1:6" x14ac:dyDescent="0.25">
      <c r="A797">
        <v>4426419</v>
      </c>
      <c r="B797" t="s">
        <v>818</v>
      </c>
      <c r="C797" t="str">
        <f>"9783110309232"</f>
        <v>9783110309232</v>
      </c>
      <c r="D797" t="str">
        <f>"9783110311198"</f>
        <v>9783110311198</v>
      </c>
      <c r="E797" t="s">
        <v>73</v>
      </c>
      <c r="F797" s="1">
        <v>42422</v>
      </c>
    </row>
    <row r="798" spans="1:6" x14ac:dyDescent="0.25">
      <c r="A798">
        <v>4426458</v>
      </c>
      <c r="B798" t="s">
        <v>819</v>
      </c>
      <c r="C798" t="str">
        <f>"9783110468274"</f>
        <v>9783110468274</v>
      </c>
      <c r="D798" t="str">
        <f>"9783110468298"</f>
        <v>9783110468298</v>
      </c>
      <c r="E798" t="s">
        <v>73</v>
      </c>
      <c r="F798" s="1">
        <v>42422</v>
      </c>
    </row>
    <row r="799" spans="1:6" x14ac:dyDescent="0.25">
      <c r="A799">
        <v>4426459</v>
      </c>
      <c r="B799" t="s">
        <v>820</v>
      </c>
      <c r="C799" t="str">
        <f>"9783110469875"</f>
        <v>9783110469875</v>
      </c>
      <c r="D799" t="str">
        <f>"9783110469882"</f>
        <v>9783110469882</v>
      </c>
      <c r="E799" t="s">
        <v>73</v>
      </c>
      <c r="F799" s="1">
        <v>42398</v>
      </c>
    </row>
    <row r="800" spans="1:6" x14ac:dyDescent="0.25">
      <c r="A800">
        <v>4426460</v>
      </c>
      <c r="B800" t="s">
        <v>821</v>
      </c>
      <c r="C800" t="str">
        <f>"9783110470994"</f>
        <v>9783110470994</v>
      </c>
      <c r="D800" t="str">
        <f>"9783110471014"</f>
        <v>9783110471014</v>
      </c>
      <c r="E800" t="s">
        <v>73</v>
      </c>
      <c r="F800" s="1">
        <v>42398</v>
      </c>
    </row>
    <row r="801" spans="1:6" x14ac:dyDescent="0.25">
      <c r="A801">
        <v>4428572</v>
      </c>
      <c r="B801" t="s">
        <v>822</v>
      </c>
      <c r="C801" t="str">
        <f>"9783486704815"</f>
        <v>9783486704815</v>
      </c>
      <c r="D801" t="str">
        <f>"9783486853766"</f>
        <v>9783486853766</v>
      </c>
      <c r="E801" t="s">
        <v>73</v>
      </c>
      <c r="F801" s="1">
        <v>40898</v>
      </c>
    </row>
    <row r="802" spans="1:6" x14ac:dyDescent="0.25">
      <c r="A802">
        <v>4428573</v>
      </c>
      <c r="B802" t="s">
        <v>823</v>
      </c>
      <c r="C802" t="str">
        <f>"9783486591422"</f>
        <v>9783486591422</v>
      </c>
      <c r="D802" t="str">
        <f>"9783486851526"</f>
        <v>9783486851526</v>
      </c>
      <c r="E802" t="s">
        <v>73</v>
      </c>
      <c r="F802" s="1">
        <v>40751</v>
      </c>
    </row>
    <row r="803" spans="1:6" x14ac:dyDescent="0.25">
      <c r="A803">
        <v>4442168</v>
      </c>
      <c r="B803" t="s">
        <v>824</v>
      </c>
      <c r="C803" t="str">
        <f>"9781438459332"</f>
        <v>9781438459332</v>
      </c>
      <c r="D803" t="str">
        <f>"9781438459349"</f>
        <v>9781438459349</v>
      </c>
      <c r="E803" t="s">
        <v>684</v>
      </c>
      <c r="F803" s="1">
        <v>42430</v>
      </c>
    </row>
    <row r="804" spans="1:6" x14ac:dyDescent="0.25">
      <c r="A804">
        <v>4443132</v>
      </c>
      <c r="B804" t="s">
        <v>825</v>
      </c>
      <c r="C804" t="str">
        <f>"9789633860830"</f>
        <v>9789633860830</v>
      </c>
      <c r="D804" t="str">
        <f>"9789633860847"</f>
        <v>9789633860847</v>
      </c>
      <c r="E804" t="s">
        <v>576</v>
      </c>
      <c r="F804" s="1">
        <v>42370</v>
      </c>
    </row>
    <row r="805" spans="1:6" x14ac:dyDescent="0.25">
      <c r="A805">
        <v>4443134</v>
      </c>
      <c r="B805" t="s">
        <v>826</v>
      </c>
      <c r="C805" t="str">
        <f>"9789633861226"</f>
        <v>9789633861226</v>
      </c>
      <c r="D805" t="str">
        <f>"9789633861462"</f>
        <v>9789633861462</v>
      </c>
      <c r="E805" t="s">
        <v>576</v>
      </c>
      <c r="F805" s="1">
        <v>42370</v>
      </c>
    </row>
    <row r="806" spans="1:6" x14ac:dyDescent="0.25">
      <c r="A806">
        <v>4443140</v>
      </c>
      <c r="B806" t="s">
        <v>827</v>
      </c>
      <c r="C806" t="str">
        <f>"9789633860922"</f>
        <v>9789633860922</v>
      </c>
      <c r="D806" t="str">
        <f>"9789633860939"</f>
        <v>9789633860939</v>
      </c>
      <c r="E806" t="s">
        <v>576</v>
      </c>
      <c r="F806" s="1">
        <v>42278</v>
      </c>
    </row>
    <row r="807" spans="1:6" x14ac:dyDescent="0.25">
      <c r="A807">
        <v>4451852</v>
      </c>
      <c r="B807" t="s">
        <v>828</v>
      </c>
      <c r="C807" t="str">
        <f>"9783110440355"</f>
        <v>9783110440355</v>
      </c>
      <c r="D807" t="str">
        <f>"9783110432619"</f>
        <v>9783110432619</v>
      </c>
      <c r="E807" t="s">
        <v>73</v>
      </c>
      <c r="F807" s="1">
        <v>42436</v>
      </c>
    </row>
    <row r="808" spans="1:6" x14ac:dyDescent="0.25">
      <c r="A808">
        <v>4451854</v>
      </c>
      <c r="B808" t="s">
        <v>829</v>
      </c>
      <c r="C808" t="str">
        <f>"9783110443479"</f>
        <v>9783110443479</v>
      </c>
      <c r="D808" t="str">
        <f>"9783110444612"</f>
        <v>9783110444612</v>
      </c>
      <c r="E808" t="s">
        <v>73</v>
      </c>
      <c r="F808" s="1">
        <v>42436</v>
      </c>
    </row>
    <row r="809" spans="1:6" x14ac:dyDescent="0.25">
      <c r="A809">
        <v>4452833</v>
      </c>
      <c r="B809" t="s">
        <v>830</v>
      </c>
      <c r="C809" t="str">
        <f>"9780822361060"</f>
        <v>9780822361060</v>
      </c>
      <c r="D809" t="str">
        <f>"9780822374381"</f>
        <v>9780822374381</v>
      </c>
      <c r="E809" t="s">
        <v>174</v>
      </c>
      <c r="F809" s="1">
        <v>42457</v>
      </c>
    </row>
    <row r="810" spans="1:6" x14ac:dyDescent="0.25">
      <c r="A810">
        <v>4452847</v>
      </c>
      <c r="B810" t="s">
        <v>831</v>
      </c>
      <c r="C810" t="str">
        <f>"9780822360261"</f>
        <v>9780822360261</v>
      </c>
      <c r="D810" t="str">
        <f>"9780822374749"</f>
        <v>9780822374749</v>
      </c>
      <c r="E810" t="s">
        <v>174</v>
      </c>
      <c r="F810" s="1">
        <v>42454</v>
      </c>
    </row>
    <row r="811" spans="1:6" x14ac:dyDescent="0.25">
      <c r="A811">
        <v>4452851</v>
      </c>
      <c r="B811" t="s">
        <v>832</v>
      </c>
      <c r="C811" t="str">
        <f>"9780822360193"</f>
        <v>9780822360193</v>
      </c>
      <c r="D811" t="str">
        <f>"9780822374862"</f>
        <v>9780822374862</v>
      </c>
      <c r="E811" t="s">
        <v>174</v>
      </c>
      <c r="F811" s="1">
        <v>42335</v>
      </c>
    </row>
    <row r="812" spans="1:6" x14ac:dyDescent="0.25">
      <c r="A812">
        <v>4454556</v>
      </c>
      <c r="B812" t="s">
        <v>833</v>
      </c>
      <c r="C812" t="str">
        <f>"9781618111791"</f>
        <v>9781618111791</v>
      </c>
      <c r="D812" t="str">
        <f>"9781618112019"</f>
        <v>9781618112019</v>
      </c>
      <c r="E812" t="s">
        <v>514</v>
      </c>
      <c r="F812" s="1">
        <v>42292</v>
      </c>
    </row>
    <row r="813" spans="1:6" x14ac:dyDescent="0.25">
      <c r="A813">
        <v>4454557</v>
      </c>
      <c r="B813" t="s">
        <v>834</v>
      </c>
      <c r="C813" t="str">
        <f>"9781618112606"</f>
        <v>9781618112606</v>
      </c>
      <c r="D813" t="str">
        <f>"9781618117038"</f>
        <v>9781618117038</v>
      </c>
      <c r="E813" t="s">
        <v>514</v>
      </c>
      <c r="F813" s="1">
        <v>42231</v>
      </c>
    </row>
    <row r="814" spans="1:6" x14ac:dyDescent="0.25">
      <c r="A814">
        <v>4454569</v>
      </c>
      <c r="B814" t="s">
        <v>835</v>
      </c>
      <c r="C814" t="str">
        <f>"9781618114822"</f>
        <v>9781618114822</v>
      </c>
      <c r="D814" t="str">
        <f>"9781618114839"</f>
        <v>9781618114839</v>
      </c>
      <c r="E814" t="s">
        <v>514</v>
      </c>
      <c r="F814" s="1">
        <v>42360</v>
      </c>
    </row>
    <row r="815" spans="1:6" x14ac:dyDescent="0.25">
      <c r="A815">
        <v>4458125</v>
      </c>
      <c r="B815" t="s">
        <v>836</v>
      </c>
      <c r="C815" t="str">
        <f>"9781439912973"</f>
        <v>9781439912973</v>
      </c>
      <c r="D815" t="str">
        <f>"9781439912997"</f>
        <v>9781439912997</v>
      </c>
      <c r="E815" t="s">
        <v>47</v>
      </c>
      <c r="F815" s="1">
        <v>42461</v>
      </c>
    </row>
    <row r="816" spans="1:6" x14ac:dyDescent="0.25">
      <c r="A816">
        <v>4504047</v>
      </c>
      <c r="B816" t="s">
        <v>837</v>
      </c>
      <c r="C816" t="str">
        <f>"9780822361138"</f>
        <v>9780822361138</v>
      </c>
      <c r="D816" t="str">
        <f>"9780822374312"</f>
        <v>9780822374312</v>
      </c>
      <c r="E816" t="s">
        <v>174</v>
      </c>
      <c r="F816" s="1">
        <v>42489</v>
      </c>
    </row>
    <row r="817" spans="1:6" x14ac:dyDescent="0.25">
      <c r="A817">
        <v>4508516</v>
      </c>
      <c r="B817" t="s">
        <v>838</v>
      </c>
      <c r="C817" t="str">
        <f>"9783110412055"</f>
        <v>9783110412055</v>
      </c>
      <c r="D817" t="str">
        <f>"9783110419207"</f>
        <v>9783110419207</v>
      </c>
      <c r="E817" t="s">
        <v>73</v>
      </c>
      <c r="F817" s="1">
        <v>42471</v>
      </c>
    </row>
    <row r="818" spans="1:6" x14ac:dyDescent="0.25">
      <c r="A818">
        <v>4508528</v>
      </c>
      <c r="B818" t="s">
        <v>839</v>
      </c>
      <c r="C818" t="str">
        <f>"9783110440089"</f>
        <v>9783110440089</v>
      </c>
      <c r="D818" t="str">
        <f>"9783110440096"</f>
        <v>9783110440096</v>
      </c>
      <c r="E818" t="s">
        <v>73</v>
      </c>
      <c r="F818" s="1">
        <v>42485</v>
      </c>
    </row>
    <row r="819" spans="1:6" x14ac:dyDescent="0.25">
      <c r="A819">
        <v>4508546</v>
      </c>
      <c r="B819" t="s">
        <v>840</v>
      </c>
      <c r="C819" t="str">
        <f>"9783110468656"</f>
        <v>9783110468656</v>
      </c>
      <c r="D819" t="str">
        <f>"9783110468663"</f>
        <v>9783110468663</v>
      </c>
      <c r="E819" t="s">
        <v>73</v>
      </c>
      <c r="F819" s="1">
        <v>42450</v>
      </c>
    </row>
    <row r="820" spans="1:6" x14ac:dyDescent="0.25">
      <c r="A820">
        <v>4508547</v>
      </c>
      <c r="B820" t="s">
        <v>841</v>
      </c>
      <c r="C820" t="str">
        <f>"9783110469516"</f>
        <v>9783110469516</v>
      </c>
      <c r="D820" t="str">
        <f>"9783110469592"</f>
        <v>9783110469592</v>
      </c>
      <c r="E820" t="s">
        <v>73</v>
      </c>
      <c r="F820" s="1">
        <v>42485</v>
      </c>
    </row>
    <row r="821" spans="1:6" x14ac:dyDescent="0.25">
      <c r="A821">
        <v>4512191</v>
      </c>
      <c r="B821" t="s">
        <v>842</v>
      </c>
      <c r="C821" t="str">
        <f>"9781783741380"</f>
        <v>9781783741380</v>
      </c>
      <c r="D821" t="str">
        <f>"9781783741397"</f>
        <v>9781783741397</v>
      </c>
      <c r="E821" t="s">
        <v>580</v>
      </c>
      <c r="F821" s="1">
        <v>42408</v>
      </c>
    </row>
    <row r="822" spans="1:6" x14ac:dyDescent="0.25">
      <c r="A822">
        <v>4512192</v>
      </c>
      <c r="B822" t="s">
        <v>843</v>
      </c>
      <c r="C822" t="str">
        <f>"9781783741847"</f>
        <v>9781783741847</v>
      </c>
      <c r="D822" t="str">
        <f>"9781783741854"</f>
        <v>9781783741854</v>
      </c>
      <c r="E822" t="s">
        <v>580</v>
      </c>
      <c r="F822" s="1">
        <v>42426</v>
      </c>
    </row>
    <row r="823" spans="1:6" x14ac:dyDescent="0.25">
      <c r="A823">
        <v>4512193</v>
      </c>
      <c r="B823" t="s">
        <v>844</v>
      </c>
      <c r="C823" t="str">
        <f>"9781783742196"</f>
        <v>9781783742196</v>
      </c>
      <c r="D823" t="str">
        <f>"9781783742202"</f>
        <v>9781783742202</v>
      </c>
      <c r="E823" t="s">
        <v>580</v>
      </c>
      <c r="F823" s="1">
        <v>42471</v>
      </c>
    </row>
    <row r="824" spans="1:6" x14ac:dyDescent="0.25">
      <c r="A824">
        <v>4522495</v>
      </c>
      <c r="B824" t="s">
        <v>845</v>
      </c>
      <c r="C824" t="str">
        <f>"9780822360575"</f>
        <v>9780822360575</v>
      </c>
      <c r="D824" t="str">
        <f>"9780822374589"</f>
        <v>9780822374589</v>
      </c>
      <c r="E824" t="s">
        <v>174</v>
      </c>
      <c r="F824" s="1">
        <v>42454</v>
      </c>
    </row>
    <row r="825" spans="1:6" x14ac:dyDescent="0.25">
      <c r="A825">
        <v>4522496</v>
      </c>
      <c r="B825" t="s">
        <v>846</v>
      </c>
      <c r="C825" t="str">
        <f>"9780822360810"</f>
        <v>9780822360810</v>
      </c>
      <c r="D825" t="str">
        <f>"9780822374503"</f>
        <v>9780822374503</v>
      </c>
      <c r="E825" t="s">
        <v>174</v>
      </c>
      <c r="F825" s="1">
        <v>42457</v>
      </c>
    </row>
    <row r="826" spans="1:6" x14ac:dyDescent="0.25">
      <c r="A826">
        <v>4533910</v>
      </c>
      <c r="B826" t="s">
        <v>847</v>
      </c>
      <c r="C826" t="str">
        <f>"9783110458695"</f>
        <v>9783110458695</v>
      </c>
      <c r="D826" t="str">
        <f>"9783110460582"</f>
        <v>9783110460582</v>
      </c>
      <c r="E826" t="s">
        <v>73</v>
      </c>
      <c r="F826" s="1">
        <v>42514</v>
      </c>
    </row>
    <row r="827" spans="1:6" x14ac:dyDescent="0.25">
      <c r="A827">
        <v>4539813</v>
      </c>
      <c r="B827" t="s">
        <v>848</v>
      </c>
      <c r="C827" t="str">
        <f>""</f>
        <v/>
      </c>
      <c r="D827" t="str">
        <f>"9782759206087"</f>
        <v>9782759206087</v>
      </c>
      <c r="E827" t="s">
        <v>626</v>
      </c>
      <c r="F827" s="1">
        <v>40179</v>
      </c>
    </row>
    <row r="828" spans="1:6" x14ac:dyDescent="0.25">
      <c r="A828">
        <v>4539833</v>
      </c>
      <c r="B828" t="s">
        <v>849</v>
      </c>
      <c r="C828" t="str">
        <f>""</f>
        <v/>
      </c>
      <c r="D828" t="str">
        <f>"9782759223800"</f>
        <v>9782759223800</v>
      </c>
      <c r="E828" t="s">
        <v>626</v>
      </c>
      <c r="F828" s="1">
        <v>42475</v>
      </c>
    </row>
    <row r="829" spans="1:6" x14ac:dyDescent="0.25">
      <c r="A829">
        <v>4539841</v>
      </c>
      <c r="B829" t="s">
        <v>850</v>
      </c>
      <c r="C829" t="str">
        <f>"9782759224753"</f>
        <v>9782759224753</v>
      </c>
      <c r="D829" t="str">
        <f>"9782759224760"</f>
        <v>9782759224760</v>
      </c>
      <c r="E829" t="s">
        <v>626</v>
      </c>
      <c r="F829" s="1">
        <v>42552</v>
      </c>
    </row>
    <row r="830" spans="1:6" x14ac:dyDescent="0.25">
      <c r="A830">
        <v>4539843</v>
      </c>
      <c r="B830" t="s">
        <v>851</v>
      </c>
      <c r="C830" t="str">
        <f>"9782759224906"</f>
        <v>9782759224906</v>
      </c>
      <c r="D830" t="str">
        <f>"9782759224913"</f>
        <v>9782759224913</v>
      </c>
      <c r="E830" t="s">
        <v>626</v>
      </c>
      <c r="F830" s="1">
        <v>42492</v>
      </c>
    </row>
    <row r="831" spans="1:6" x14ac:dyDescent="0.25">
      <c r="A831">
        <v>4539845</v>
      </c>
      <c r="B831" t="s">
        <v>852</v>
      </c>
      <c r="C831" t="str">
        <f>"9782759224692"</f>
        <v>9782759224692</v>
      </c>
      <c r="D831" t="str">
        <f>"9782759224708"</f>
        <v>9782759224708</v>
      </c>
      <c r="E831" t="s">
        <v>626</v>
      </c>
      <c r="F831" s="1">
        <v>42516</v>
      </c>
    </row>
    <row r="832" spans="1:6" x14ac:dyDescent="0.25">
      <c r="A832">
        <v>4539904</v>
      </c>
      <c r="B832" t="s">
        <v>853</v>
      </c>
      <c r="C832" t="str">
        <f>"9782759222025"</f>
        <v>9782759222025</v>
      </c>
      <c r="D832" t="str">
        <f>"9782759222049"</f>
        <v>9782759222049</v>
      </c>
      <c r="E832" t="s">
        <v>626</v>
      </c>
      <c r="F832" s="1">
        <v>41821</v>
      </c>
    </row>
    <row r="833" spans="1:6" x14ac:dyDescent="0.25">
      <c r="A833">
        <v>4544187</v>
      </c>
      <c r="B833" t="s">
        <v>854</v>
      </c>
      <c r="C833" t="str">
        <f>"9781438458496"</f>
        <v>9781438458496</v>
      </c>
      <c r="D833" t="str">
        <f>"9781438458519"</f>
        <v>9781438458519</v>
      </c>
      <c r="E833" t="s">
        <v>684</v>
      </c>
      <c r="F833" s="1">
        <v>42430</v>
      </c>
    </row>
    <row r="834" spans="1:6" x14ac:dyDescent="0.25">
      <c r="A834">
        <v>4556863</v>
      </c>
      <c r="B834" t="s">
        <v>855</v>
      </c>
      <c r="C834" t="str">
        <f>"9783110453485"</f>
        <v>9783110453485</v>
      </c>
      <c r="D834" t="str">
        <f>"9783110454055"</f>
        <v>9783110454055</v>
      </c>
      <c r="E834" t="s">
        <v>73</v>
      </c>
      <c r="F834" s="1">
        <v>42541</v>
      </c>
    </row>
    <row r="835" spans="1:6" x14ac:dyDescent="0.25">
      <c r="A835">
        <v>4556866</v>
      </c>
      <c r="B835" t="s">
        <v>856</v>
      </c>
      <c r="C835" t="str">
        <f>"9783110462982"</f>
        <v>9783110462982</v>
      </c>
      <c r="D835" t="str">
        <f>"9783110463989"</f>
        <v>9783110463989</v>
      </c>
      <c r="E835" t="s">
        <v>73</v>
      </c>
      <c r="F835" s="1">
        <v>42541</v>
      </c>
    </row>
    <row r="836" spans="1:6" x14ac:dyDescent="0.25">
      <c r="A836">
        <v>4568848</v>
      </c>
      <c r="B836" t="s">
        <v>857</v>
      </c>
      <c r="C836" t="str">
        <f>"9781618115263"</f>
        <v>9781618115263</v>
      </c>
      <c r="D836" t="str">
        <f>"9781618115270"</f>
        <v>9781618115270</v>
      </c>
      <c r="E836" t="s">
        <v>514</v>
      </c>
      <c r="F836" s="1">
        <v>42628</v>
      </c>
    </row>
    <row r="837" spans="1:6" x14ac:dyDescent="0.25">
      <c r="A837">
        <v>4568878</v>
      </c>
      <c r="B837" t="s">
        <v>858</v>
      </c>
      <c r="C837" t="str">
        <f>"9781618115133"</f>
        <v>9781618115133</v>
      </c>
      <c r="D837" t="str">
        <f>"9781618115140"</f>
        <v>9781618115140</v>
      </c>
      <c r="E837" t="s">
        <v>514</v>
      </c>
      <c r="F837" s="1">
        <v>42674</v>
      </c>
    </row>
    <row r="838" spans="1:6" x14ac:dyDescent="0.25">
      <c r="A838">
        <v>4568920</v>
      </c>
      <c r="B838" t="s">
        <v>859</v>
      </c>
      <c r="C838" t="str">
        <f>"9781618115225"</f>
        <v>9781618115225</v>
      </c>
      <c r="D838" t="str">
        <f>"9781618115232"</f>
        <v>9781618115232</v>
      </c>
      <c r="E838" t="s">
        <v>514</v>
      </c>
      <c r="F838" s="1">
        <v>42674</v>
      </c>
    </row>
    <row r="839" spans="1:6" x14ac:dyDescent="0.25">
      <c r="A839">
        <v>4573567</v>
      </c>
      <c r="B839" t="s">
        <v>860</v>
      </c>
      <c r="C839" t="str">
        <f>"9782759224364"</f>
        <v>9782759224364</v>
      </c>
      <c r="D839" t="str">
        <f>"9782759224371"</f>
        <v>9782759224371</v>
      </c>
      <c r="E839" t="s">
        <v>626</v>
      </c>
      <c r="F839" s="1">
        <v>42537</v>
      </c>
    </row>
    <row r="840" spans="1:6" x14ac:dyDescent="0.25">
      <c r="A840">
        <v>4592473</v>
      </c>
      <c r="B840" t="s">
        <v>861</v>
      </c>
      <c r="C840" t="str">
        <f>"9781783741632"</f>
        <v>9781783741632</v>
      </c>
      <c r="D840" t="str">
        <f>"9781783741649"</f>
        <v>9781783741649</v>
      </c>
      <c r="E840" t="s">
        <v>580</v>
      </c>
      <c r="F840" s="1">
        <v>42505</v>
      </c>
    </row>
    <row r="841" spans="1:6" x14ac:dyDescent="0.25">
      <c r="A841">
        <v>4592474</v>
      </c>
      <c r="B841" t="s">
        <v>862</v>
      </c>
      <c r="C841" t="str">
        <f>"9781783742141"</f>
        <v>9781783742141</v>
      </c>
      <c r="D841" t="str">
        <f>"9781783742158"</f>
        <v>9781783742158</v>
      </c>
      <c r="E841" t="s">
        <v>580</v>
      </c>
      <c r="F841" s="1">
        <v>42562</v>
      </c>
    </row>
    <row r="842" spans="1:6" x14ac:dyDescent="0.25">
      <c r="A842">
        <v>4592475</v>
      </c>
      <c r="B842" t="s">
        <v>863</v>
      </c>
      <c r="C842" t="str">
        <f>"9781783742295"</f>
        <v>9781783742295</v>
      </c>
      <c r="D842" t="str">
        <f>"9781783742301"</f>
        <v>9781783742301</v>
      </c>
      <c r="E842" t="s">
        <v>580</v>
      </c>
      <c r="F842" s="1">
        <v>42520</v>
      </c>
    </row>
    <row r="843" spans="1:6" x14ac:dyDescent="0.25">
      <c r="A843">
        <v>4592476</v>
      </c>
      <c r="B843" t="s">
        <v>864</v>
      </c>
      <c r="C843" t="str">
        <f>"9781783742448"</f>
        <v>9781783742448</v>
      </c>
      <c r="D843" t="str">
        <f>"9781783742455"</f>
        <v>9781783742455</v>
      </c>
      <c r="E843" t="s">
        <v>580</v>
      </c>
      <c r="F843" s="1">
        <v>42569</v>
      </c>
    </row>
    <row r="844" spans="1:6" x14ac:dyDescent="0.25">
      <c r="A844">
        <v>4592478</v>
      </c>
      <c r="B844" t="s">
        <v>865</v>
      </c>
      <c r="C844" t="str">
        <f>"9781909254916"</f>
        <v>9781909254916</v>
      </c>
      <c r="D844" t="str">
        <f>"9781909254923"</f>
        <v>9781909254923</v>
      </c>
      <c r="E844" t="s">
        <v>580</v>
      </c>
      <c r="F844" s="1">
        <v>42541</v>
      </c>
    </row>
    <row r="845" spans="1:6" x14ac:dyDescent="0.25">
      <c r="A845">
        <v>4595498</v>
      </c>
      <c r="B845" t="s">
        <v>866</v>
      </c>
      <c r="C845" t="str">
        <f>"9783110417937"</f>
        <v>9783110417937</v>
      </c>
      <c r="D845" t="str">
        <f>"9783110417944"</f>
        <v>9783110417944</v>
      </c>
      <c r="E845" t="s">
        <v>53</v>
      </c>
      <c r="F845" s="1">
        <v>42562</v>
      </c>
    </row>
    <row r="846" spans="1:6" x14ac:dyDescent="0.25">
      <c r="A846">
        <v>4603083</v>
      </c>
      <c r="B846" t="s">
        <v>867</v>
      </c>
      <c r="C846" t="str">
        <f>"9789089645241"</f>
        <v>9789089645241</v>
      </c>
      <c r="D846" t="str">
        <f>"9789048518654"</f>
        <v>9789048518654</v>
      </c>
      <c r="E846" t="s">
        <v>59</v>
      </c>
      <c r="F846" s="1">
        <v>42556</v>
      </c>
    </row>
    <row r="847" spans="1:6" x14ac:dyDescent="0.25">
      <c r="A847">
        <v>4603722</v>
      </c>
      <c r="B847" t="s">
        <v>868</v>
      </c>
      <c r="C847" t="str">
        <f>"9781438459394"</f>
        <v>9781438459394</v>
      </c>
      <c r="D847" t="str">
        <f>"9781438459417"</f>
        <v>9781438459417</v>
      </c>
      <c r="E847" t="s">
        <v>684</v>
      </c>
      <c r="F847" s="1">
        <v>42430</v>
      </c>
    </row>
    <row r="848" spans="1:6" x14ac:dyDescent="0.25">
      <c r="A848">
        <v>4618888</v>
      </c>
      <c r="B848" t="s">
        <v>869</v>
      </c>
      <c r="C848" t="str">
        <f>"9783110473148"</f>
        <v>9783110473148</v>
      </c>
      <c r="D848" t="str">
        <f>"9783110479010"</f>
        <v>9783110479010</v>
      </c>
      <c r="E848" t="s">
        <v>73</v>
      </c>
      <c r="F848" s="1">
        <v>42576</v>
      </c>
    </row>
    <row r="849" spans="1:6" x14ac:dyDescent="0.25">
      <c r="A849">
        <v>4644580</v>
      </c>
      <c r="B849" t="s">
        <v>870</v>
      </c>
      <c r="C849" t="str">
        <f>"9781614513230"</f>
        <v>9781614513230</v>
      </c>
      <c r="D849" t="str">
        <f>"9781614512639"</f>
        <v>9781614512639</v>
      </c>
      <c r="E849" t="s">
        <v>53</v>
      </c>
      <c r="F849" s="1">
        <v>42590</v>
      </c>
    </row>
    <row r="850" spans="1:6" x14ac:dyDescent="0.25">
      <c r="A850">
        <v>4644635</v>
      </c>
      <c r="B850" t="s">
        <v>871</v>
      </c>
      <c r="C850" t="str">
        <f>"9783110449419"</f>
        <v>9783110449419</v>
      </c>
      <c r="D850" t="str">
        <f>"9783110459272"</f>
        <v>9783110459272</v>
      </c>
      <c r="E850" t="s">
        <v>73</v>
      </c>
      <c r="F850" s="1">
        <v>42604</v>
      </c>
    </row>
    <row r="851" spans="1:6" x14ac:dyDescent="0.25">
      <c r="A851">
        <v>4647999</v>
      </c>
      <c r="B851" t="s">
        <v>872</v>
      </c>
      <c r="C851" t="str">
        <f>"9781618115478"</f>
        <v>9781618115478</v>
      </c>
      <c r="D851" t="str">
        <f>"9781618115485"</f>
        <v>9781618115485</v>
      </c>
      <c r="E851" t="s">
        <v>514</v>
      </c>
      <c r="F851" s="1">
        <v>42773</v>
      </c>
    </row>
    <row r="852" spans="1:6" x14ac:dyDescent="0.25">
      <c r="A852">
        <v>4659544</v>
      </c>
      <c r="B852" t="s">
        <v>873</v>
      </c>
      <c r="C852" t="str">
        <f>""</f>
        <v/>
      </c>
      <c r="D852" t="str">
        <f>"9782759225699"</f>
        <v>9782759225699</v>
      </c>
      <c r="E852" t="s">
        <v>626</v>
      </c>
      <c r="F852" s="1">
        <v>42607</v>
      </c>
    </row>
    <row r="853" spans="1:6" x14ac:dyDescent="0.25">
      <c r="A853">
        <v>4678354</v>
      </c>
      <c r="B853" t="s">
        <v>874</v>
      </c>
      <c r="C853" t="str">
        <f>"9781618115584"</f>
        <v>9781618115584</v>
      </c>
      <c r="D853" t="str">
        <f>"9781618115591"</f>
        <v>9781618115591</v>
      </c>
      <c r="E853" t="s">
        <v>514</v>
      </c>
      <c r="F853" s="1">
        <v>42766</v>
      </c>
    </row>
    <row r="854" spans="1:6" x14ac:dyDescent="0.25">
      <c r="A854">
        <v>4691382</v>
      </c>
      <c r="B854" t="s">
        <v>875</v>
      </c>
      <c r="C854" t="str">
        <f>"9783110419351"</f>
        <v>9783110419351</v>
      </c>
      <c r="D854" t="str">
        <f>"9783110418163"</f>
        <v>9783110418163</v>
      </c>
      <c r="E854" t="s">
        <v>53</v>
      </c>
      <c r="F854" s="1">
        <v>42622</v>
      </c>
    </row>
    <row r="855" spans="1:6" x14ac:dyDescent="0.25">
      <c r="A855">
        <v>4691414</v>
      </c>
      <c r="B855" t="s">
        <v>876</v>
      </c>
      <c r="C855" t="str">
        <f>"9783110465228"</f>
        <v>9783110465228</v>
      </c>
      <c r="D855" t="str">
        <f>"9783110466966"</f>
        <v>9783110466966</v>
      </c>
      <c r="E855" t="s">
        <v>73</v>
      </c>
      <c r="F855" s="1">
        <v>42639</v>
      </c>
    </row>
    <row r="856" spans="1:6" x14ac:dyDescent="0.25">
      <c r="A856">
        <v>4694633</v>
      </c>
      <c r="B856" t="s">
        <v>877</v>
      </c>
      <c r="C856" t="str">
        <f>"9781783742592"</f>
        <v>9781783742592</v>
      </c>
      <c r="D856" t="str">
        <f>"9781783742608"</f>
        <v>9781783742608</v>
      </c>
      <c r="E856" t="s">
        <v>580</v>
      </c>
      <c r="F856" s="1">
        <v>42578</v>
      </c>
    </row>
    <row r="857" spans="1:6" x14ac:dyDescent="0.25">
      <c r="A857">
        <v>4694634</v>
      </c>
      <c r="B857" t="s">
        <v>878</v>
      </c>
      <c r="C857" t="str">
        <f>"9781783742394"</f>
        <v>9781783742394</v>
      </c>
      <c r="D857" t="str">
        <f>"9781783742400"</f>
        <v>9781783742400</v>
      </c>
      <c r="E857" t="s">
        <v>580</v>
      </c>
      <c r="F857" s="1">
        <v>42597</v>
      </c>
    </row>
    <row r="858" spans="1:6" x14ac:dyDescent="0.25">
      <c r="A858">
        <v>4694635</v>
      </c>
      <c r="B858" t="s">
        <v>879</v>
      </c>
      <c r="C858" t="str">
        <f>"9781783740833"</f>
        <v>9781783740833</v>
      </c>
      <c r="D858" t="str">
        <f>"9781783740840"</f>
        <v>9781783740840</v>
      </c>
      <c r="E858" t="s">
        <v>580</v>
      </c>
      <c r="F858" s="1">
        <v>42618</v>
      </c>
    </row>
    <row r="859" spans="1:6" x14ac:dyDescent="0.25">
      <c r="A859">
        <v>4694636</v>
      </c>
      <c r="B859" t="s">
        <v>880</v>
      </c>
      <c r="C859" t="str">
        <f>"9781783742349"</f>
        <v>9781783742349</v>
      </c>
      <c r="D859" t="str">
        <f>"9781783742356"</f>
        <v>9781783742356</v>
      </c>
      <c r="E859" t="s">
        <v>580</v>
      </c>
      <c r="F859" s="1">
        <v>42639</v>
      </c>
    </row>
    <row r="860" spans="1:6" x14ac:dyDescent="0.25">
      <c r="A860">
        <v>4705024</v>
      </c>
      <c r="B860" t="s">
        <v>881</v>
      </c>
      <c r="C860" t="str">
        <f>"9780719090196"</f>
        <v>9780719090196</v>
      </c>
      <c r="D860" t="str">
        <f>"9781847799777"</f>
        <v>9781847799777</v>
      </c>
      <c r="E860" t="s">
        <v>4</v>
      </c>
      <c r="F860" s="1">
        <v>42004</v>
      </c>
    </row>
    <row r="861" spans="1:6" x14ac:dyDescent="0.25">
      <c r="A861">
        <v>4705029</v>
      </c>
      <c r="B861" t="s">
        <v>882</v>
      </c>
      <c r="C861" t="str">
        <f>"9780719096501"</f>
        <v>9780719096501</v>
      </c>
      <c r="D861" t="str">
        <f>"9781847799739"</f>
        <v>9781847799739</v>
      </c>
      <c r="E861" t="s">
        <v>4</v>
      </c>
      <c r="F861" s="1">
        <v>42003</v>
      </c>
    </row>
    <row r="862" spans="1:6" x14ac:dyDescent="0.25">
      <c r="A862">
        <v>4713554</v>
      </c>
      <c r="B862" t="s">
        <v>883</v>
      </c>
      <c r="C862" t="str">
        <f>"9780822362586"</f>
        <v>9780822362586</v>
      </c>
      <c r="D862" t="str">
        <f>"9780822373551"</f>
        <v>9780822373551</v>
      </c>
      <c r="E862" t="s">
        <v>174</v>
      </c>
      <c r="F862" s="1">
        <v>42682</v>
      </c>
    </row>
    <row r="863" spans="1:6" x14ac:dyDescent="0.25">
      <c r="A863">
        <v>4715762</v>
      </c>
      <c r="B863" t="s">
        <v>884</v>
      </c>
      <c r="C863" t="str">
        <f>""</f>
        <v/>
      </c>
      <c r="D863" t="str">
        <f>"9781137061614"</f>
        <v>9781137061614</v>
      </c>
      <c r="E863" t="s">
        <v>885</v>
      </c>
      <c r="F863" s="1">
        <v>42490</v>
      </c>
    </row>
    <row r="864" spans="1:6" x14ac:dyDescent="0.25">
      <c r="A864">
        <v>4718362</v>
      </c>
      <c r="B864" t="s">
        <v>886</v>
      </c>
      <c r="C864" t="str">
        <f>"9781501510564"</f>
        <v>9781501510564</v>
      </c>
      <c r="D864" t="str">
        <f>"9781501501913"</f>
        <v>9781501501913</v>
      </c>
      <c r="E864" t="s">
        <v>53</v>
      </c>
      <c r="F864" s="1">
        <v>42667</v>
      </c>
    </row>
    <row r="865" spans="1:6" x14ac:dyDescent="0.25">
      <c r="A865">
        <v>4718392</v>
      </c>
      <c r="B865" t="s">
        <v>887</v>
      </c>
      <c r="C865" t="str">
        <f>"9783110459623"</f>
        <v>9783110459623</v>
      </c>
      <c r="D865" t="str">
        <f>"9783110459630"</f>
        <v>9783110459630</v>
      </c>
      <c r="E865" t="s">
        <v>73</v>
      </c>
      <c r="F865" s="1">
        <v>42668</v>
      </c>
    </row>
    <row r="866" spans="1:6" x14ac:dyDescent="0.25">
      <c r="A866">
        <v>4732975</v>
      </c>
      <c r="B866" t="s">
        <v>888</v>
      </c>
      <c r="C866" t="str">
        <f>"9781780406992"</f>
        <v>9781780406992</v>
      </c>
      <c r="D866" t="str">
        <f>"9781780407005"</f>
        <v>9781780407005</v>
      </c>
      <c r="E866" t="s">
        <v>570</v>
      </c>
      <c r="F866" s="1">
        <v>42536</v>
      </c>
    </row>
    <row r="867" spans="1:6" x14ac:dyDescent="0.25">
      <c r="A867">
        <v>4741073</v>
      </c>
      <c r="B867" t="s">
        <v>889</v>
      </c>
      <c r="C867" t="str">
        <f>"9780822361541"</f>
        <v>9780822361541</v>
      </c>
      <c r="D867" t="str">
        <f>"9780822373698"</f>
        <v>9780822373698</v>
      </c>
      <c r="E867" t="s">
        <v>174</v>
      </c>
      <c r="F867" s="1">
        <v>42720</v>
      </c>
    </row>
    <row r="868" spans="1:6" x14ac:dyDescent="0.25">
      <c r="A868">
        <v>4742061</v>
      </c>
      <c r="B868" t="s">
        <v>890</v>
      </c>
      <c r="C868" t="str">
        <f>"9780822362173"</f>
        <v>9780822362173</v>
      </c>
      <c r="D868" t="str">
        <f>"9780822373766"</f>
        <v>9780822373766</v>
      </c>
      <c r="E868" t="s">
        <v>174</v>
      </c>
      <c r="F868" s="1">
        <v>42713</v>
      </c>
    </row>
    <row r="869" spans="1:6" x14ac:dyDescent="0.25">
      <c r="A869">
        <v>4742387</v>
      </c>
      <c r="B869" t="s">
        <v>891</v>
      </c>
      <c r="C869" t="str">
        <f>"9781780406855"</f>
        <v>9781780406855</v>
      </c>
      <c r="D869" t="str">
        <f>"9781780406862"</f>
        <v>9781780406862</v>
      </c>
      <c r="E869" t="s">
        <v>570</v>
      </c>
      <c r="F869" s="1">
        <v>42597</v>
      </c>
    </row>
    <row r="870" spans="1:6" x14ac:dyDescent="0.25">
      <c r="A870">
        <v>4742718</v>
      </c>
      <c r="B870" t="s">
        <v>892</v>
      </c>
      <c r="C870" t="str">
        <f>"9782759225200"</f>
        <v>9782759225200</v>
      </c>
      <c r="D870" t="str">
        <f>"9782759225217"</f>
        <v>9782759225217</v>
      </c>
      <c r="E870" t="s">
        <v>626</v>
      </c>
      <c r="F870" s="1">
        <v>42678</v>
      </c>
    </row>
    <row r="871" spans="1:6" x14ac:dyDescent="0.25">
      <c r="A871">
        <v>4742736</v>
      </c>
      <c r="B871" t="s">
        <v>893</v>
      </c>
      <c r="C871" t="str">
        <f>"9781438462936"</f>
        <v>9781438462936</v>
      </c>
      <c r="D871" t="str">
        <f>"9781438462950"</f>
        <v>9781438462950</v>
      </c>
      <c r="E871" t="s">
        <v>684</v>
      </c>
      <c r="F871" s="1">
        <v>42705</v>
      </c>
    </row>
    <row r="872" spans="1:6" x14ac:dyDescent="0.25">
      <c r="A872">
        <v>4743546</v>
      </c>
      <c r="B872" t="s">
        <v>894</v>
      </c>
      <c r="C872" t="str">
        <f>"9780822362203"</f>
        <v>9780822362203</v>
      </c>
      <c r="D872" t="str">
        <f>"9780822373735"</f>
        <v>9780822373735</v>
      </c>
      <c r="E872" t="s">
        <v>174</v>
      </c>
      <c r="F872" s="1">
        <v>42738</v>
      </c>
    </row>
    <row r="873" spans="1:6" x14ac:dyDescent="0.25">
      <c r="A873">
        <v>4743547</v>
      </c>
      <c r="B873" t="s">
        <v>895</v>
      </c>
      <c r="C873" t="str">
        <f>"9780822361145"</f>
        <v>9780822361145</v>
      </c>
      <c r="D873" t="str">
        <f>"9780822374305"</f>
        <v>9780822374305</v>
      </c>
      <c r="E873" t="s">
        <v>174</v>
      </c>
      <c r="F873" s="1">
        <v>42713</v>
      </c>
    </row>
    <row r="874" spans="1:6" x14ac:dyDescent="0.25">
      <c r="A874">
        <v>4746976</v>
      </c>
      <c r="B874" t="s">
        <v>896</v>
      </c>
      <c r="C874" t="str">
        <f>"9789027206596"</f>
        <v>9789027206596</v>
      </c>
      <c r="D874" t="str">
        <f>"9789027266330"</f>
        <v>9789027266330</v>
      </c>
      <c r="E874" t="s">
        <v>413</v>
      </c>
      <c r="F874" s="1">
        <v>42705</v>
      </c>
    </row>
    <row r="875" spans="1:6" x14ac:dyDescent="0.25">
      <c r="A875">
        <v>4749379</v>
      </c>
      <c r="B875" t="s">
        <v>897</v>
      </c>
      <c r="C875" t="str">
        <f>"9783110426991"</f>
        <v>9783110426991</v>
      </c>
      <c r="D875" t="str">
        <f>"9783110423136"</f>
        <v>9783110423136</v>
      </c>
      <c r="E875" t="s">
        <v>53</v>
      </c>
      <c r="F875" s="1">
        <v>42422</v>
      </c>
    </row>
    <row r="876" spans="1:6" x14ac:dyDescent="0.25">
      <c r="A876">
        <v>4749391</v>
      </c>
      <c r="B876" t="s">
        <v>898</v>
      </c>
      <c r="C876" t="str">
        <f>"9783110378221"</f>
        <v>9783110378221</v>
      </c>
      <c r="D876" t="str">
        <f>"9783110405552"</f>
        <v>9783110405552</v>
      </c>
      <c r="E876" t="s">
        <v>73</v>
      </c>
      <c r="F876" s="1">
        <v>42541</v>
      </c>
    </row>
    <row r="877" spans="1:6" x14ac:dyDescent="0.25">
      <c r="A877">
        <v>4749420</v>
      </c>
      <c r="B877" t="s">
        <v>899</v>
      </c>
      <c r="C877" t="str">
        <f>"9780939950966"</f>
        <v>9780939950966</v>
      </c>
      <c r="D877" t="str">
        <f>"9781501502071"</f>
        <v>9781501502071</v>
      </c>
      <c r="E877" t="s">
        <v>53</v>
      </c>
      <c r="F877" s="1">
        <v>42292</v>
      </c>
    </row>
    <row r="878" spans="1:6" x14ac:dyDescent="0.25">
      <c r="A878">
        <v>4751199</v>
      </c>
      <c r="B878" t="s">
        <v>900</v>
      </c>
      <c r="C878" t="str">
        <f>"9780822362067"</f>
        <v>9780822362067</v>
      </c>
      <c r="D878" t="str">
        <f>"9780822373872"</f>
        <v>9780822373872</v>
      </c>
      <c r="E878" t="s">
        <v>174</v>
      </c>
      <c r="F878" s="1">
        <v>42713</v>
      </c>
    </row>
    <row r="879" spans="1:6" x14ac:dyDescent="0.25">
      <c r="A879">
        <v>4755914</v>
      </c>
      <c r="B879" t="s">
        <v>901</v>
      </c>
      <c r="C879" t="str">
        <f>"9780822362180"</f>
        <v>9780822362180</v>
      </c>
      <c r="D879" t="str">
        <f>"9780822373759"</f>
        <v>9780822373759</v>
      </c>
      <c r="E879" t="s">
        <v>174</v>
      </c>
      <c r="F879" s="1">
        <v>42706</v>
      </c>
    </row>
    <row r="880" spans="1:6" x14ac:dyDescent="0.25">
      <c r="A880">
        <v>4768876</v>
      </c>
      <c r="B880" t="s">
        <v>902</v>
      </c>
      <c r="C880" t="str">
        <f>"9783110417852"</f>
        <v>9783110417852</v>
      </c>
      <c r="D880" t="str">
        <f>"9783110417845"</f>
        <v>9783110417845</v>
      </c>
      <c r="E880" t="s">
        <v>53</v>
      </c>
      <c r="F880" s="1">
        <v>42723</v>
      </c>
    </row>
    <row r="881" spans="1:6" x14ac:dyDescent="0.25">
      <c r="A881">
        <v>4768898</v>
      </c>
      <c r="B881" t="s">
        <v>903</v>
      </c>
      <c r="C881" t="str">
        <f>"9783110448108"</f>
        <v>9783110448108</v>
      </c>
      <c r="D881" t="str">
        <f>"9783110448115"</f>
        <v>9783110448115</v>
      </c>
      <c r="E881" t="s">
        <v>73</v>
      </c>
      <c r="F881" s="1">
        <v>42695</v>
      </c>
    </row>
    <row r="882" spans="1:6" x14ac:dyDescent="0.25">
      <c r="A882">
        <v>4768916</v>
      </c>
      <c r="B882" t="s">
        <v>904</v>
      </c>
      <c r="C882" t="str">
        <f>"9783110477726"</f>
        <v>9783110477726</v>
      </c>
      <c r="D882" t="str">
        <f>"9783110478815"</f>
        <v>9783110478815</v>
      </c>
      <c r="E882" t="s">
        <v>73</v>
      </c>
      <c r="F882" s="1">
        <v>42681</v>
      </c>
    </row>
    <row r="883" spans="1:6" x14ac:dyDescent="0.25">
      <c r="A883">
        <v>4768935</v>
      </c>
      <c r="B883" t="s">
        <v>905</v>
      </c>
      <c r="C883" t="str">
        <f>"9783110450927"</f>
        <v>9783110450927</v>
      </c>
      <c r="D883" t="str">
        <f>"9783110450934"</f>
        <v>9783110450934</v>
      </c>
      <c r="E883" t="s">
        <v>73</v>
      </c>
      <c r="F883" s="1">
        <v>42723</v>
      </c>
    </row>
    <row r="884" spans="1:6" x14ac:dyDescent="0.25">
      <c r="A884">
        <v>4768993</v>
      </c>
      <c r="B884" t="s">
        <v>906</v>
      </c>
      <c r="C884" t="str">
        <f>"9783110496932"</f>
        <v>9783110496932</v>
      </c>
      <c r="D884" t="str">
        <f>"9783110496956"</f>
        <v>9783110496956</v>
      </c>
      <c r="E884" t="s">
        <v>73</v>
      </c>
      <c r="F884" s="1">
        <v>42681</v>
      </c>
    </row>
    <row r="885" spans="1:6" x14ac:dyDescent="0.25">
      <c r="A885">
        <v>4769012</v>
      </c>
      <c r="B885" t="s">
        <v>907</v>
      </c>
      <c r="C885" t="str">
        <f>"9783110487329"</f>
        <v>9783110487329</v>
      </c>
      <c r="D885" t="str">
        <f>"9783110501728"</f>
        <v>9783110501728</v>
      </c>
      <c r="E885" t="s">
        <v>73</v>
      </c>
      <c r="F885" s="1">
        <v>42681</v>
      </c>
    </row>
    <row r="886" spans="1:6" x14ac:dyDescent="0.25">
      <c r="A886">
        <v>4775653</v>
      </c>
      <c r="B886" t="s">
        <v>908</v>
      </c>
      <c r="C886" t="str">
        <f>"9780822362166"</f>
        <v>9780822362166</v>
      </c>
      <c r="D886" t="str">
        <f>"9780822373773"</f>
        <v>9780822373773</v>
      </c>
      <c r="E886" t="s">
        <v>174</v>
      </c>
      <c r="F886" s="1">
        <v>42738</v>
      </c>
    </row>
    <row r="887" spans="1:6" x14ac:dyDescent="0.25">
      <c r="A887">
        <v>4777260</v>
      </c>
      <c r="B887" t="s">
        <v>909</v>
      </c>
      <c r="C887" t="str">
        <f>"9780719091391"</f>
        <v>9780719091391</v>
      </c>
      <c r="D887" t="str">
        <f>"9781526111975"</f>
        <v>9781526111975</v>
      </c>
      <c r="E887" t="s">
        <v>4</v>
      </c>
      <c r="F887" s="1">
        <v>41698</v>
      </c>
    </row>
    <row r="888" spans="1:6" x14ac:dyDescent="0.25">
      <c r="A888">
        <v>4787961</v>
      </c>
      <c r="B888" t="s">
        <v>910</v>
      </c>
      <c r="C888" t="str">
        <f>""</f>
        <v/>
      </c>
      <c r="D888" t="str">
        <f>"9782759225958"</f>
        <v>9782759225958</v>
      </c>
      <c r="E888" t="s">
        <v>626</v>
      </c>
      <c r="F888" s="1">
        <v>42702</v>
      </c>
    </row>
    <row r="889" spans="1:6" x14ac:dyDescent="0.25">
      <c r="A889">
        <v>4788062</v>
      </c>
      <c r="B889" t="s">
        <v>911</v>
      </c>
      <c r="C889" t="str">
        <f>"9781783741786"</f>
        <v>9781783741786</v>
      </c>
      <c r="D889" t="str">
        <f>"9781783741793"</f>
        <v>9781783741793</v>
      </c>
      <c r="E889" t="s">
        <v>580</v>
      </c>
      <c r="F889" s="1">
        <v>42709</v>
      </c>
    </row>
    <row r="890" spans="1:6" x14ac:dyDescent="0.25">
      <c r="A890">
        <v>4788063</v>
      </c>
      <c r="B890" t="s">
        <v>912</v>
      </c>
      <c r="C890" t="str">
        <f>"9781783742943"</f>
        <v>9781783742943</v>
      </c>
      <c r="D890" t="str">
        <f>"9781783742950"</f>
        <v>9781783742950</v>
      </c>
      <c r="E890" t="s">
        <v>580</v>
      </c>
      <c r="F890" s="1">
        <v>42695</v>
      </c>
    </row>
    <row r="891" spans="1:6" x14ac:dyDescent="0.25">
      <c r="A891">
        <v>4788064</v>
      </c>
      <c r="B891" t="s">
        <v>913</v>
      </c>
      <c r="C891" t="str">
        <f>"9781783742547"</f>
        <v>9781783742547</v>
      </c>
      <c r="D891" t="str">
        <f>"9781783742554"</f>
        <v>9781783742554</v>
      </c>
      <c r="E891" t="s">
        <v>580</v>
      </c>
      <c r="F891" s="1">
        <v>42716</v>
      </c>
    </row>
    <row r="892" spans="1:6" x14ac:dyDescent="0.25">
      <c r="A892">
        <v>4788065</v>
      </c>
      <c r="B892" t="s">
        <v>914</v>
      </c>
      <c r="C892" t="str">
        <f>"9781783742745"</f>
        <v>9781783742745</v>
      </c>
      <c r="D892" t="str">
        <f>"9781783742752"</f>
        <v>9781783742752</v>
      </c>
      <c r="E892" t="s">
        <v>580</v>
      </c>
      <c r="F892" s="1">
        <v>42660</v>
      </c>
    </row>
    <row r="893" spans="1:6" x14ac:dyDescent="0.25">
      <c r="A893">
        <v>4788066</v>
      </c>
      <c r="B893" t="s">
        <v>915</v>
      </c>
      <c r="C893" t="str">
        <f>"9781783742790"</f>
        <v>9781783742790</v>
      </c>
      <c r="D893" t="str">
        <f>"9781783742806"</f>
        <v>9781783742806</v>
      </c>
      <c r="E893" t="s">
        <v>580</v>
      </c>
      <c r="F893" s="1">
        <v>42723</v>
      </c>
    </row>
    <row r="894" spans="1:6" x14ac:dyDescent="0.25">
      <c r="A894">
        <v>4788067</v>
      </c>
      <c r="B894" t="s">
        <v>916</v>
      </c>
      <c r="C894" t="str">
        <f>"9781783742899"</f>
        <v>9781783742899</v>
      </c>
      <c r="D894" t="str">
        <f>"9781783742905"</f>
        <v>9781783742905</v>
      </c>
      <c r="E894" t="s">
        <v>580</v>
      </c>
      <c r="F894" s="1">
        <v>42685</v>
      </c>
    </row>
    <row r="895" spans="1:6" x14ac:dyDescent="0.25">
      <c r="A895">
        <v>4792679</v>
      </c>
      <c r="B895" t="s">
        <v>917</v>
      </c>
      <c r="C895" t="str">
        <f>"9780822362807"</f>
        <v>9780822362807</v>
      </c>
      <c r="D895" t="str">
        <f>"9780822373483"</f>
        <v>9780822373483</v>
      </c>
      <c r="E895" t="s">
        <v>174</v>
      </c>
      <c r="F895" s="1">
        <v>42769</v>
      </c>
    </row>
    <row r="896" spans="1:6" x14ac:dyDescent="0.25">
      <c r="A896">
        <v>4793608</v>
      </c>
      <c r="B896" t="s">
        <v>918</v>
      </c>
      <c r="C896" t="str">
        <f>"9783598108617"</f>
        <v>9783598108617</v>
      </c>
      <c r="D896" t="str">
        <f>"9783110950397"</f>
        <v>9783110950397</v>
      </c>
      <c r="E896" t="s">
        <v>53</v>
      </c>
      <c r="F896" s="1">
        <v>33239</v>
      </c>
    </row>
    <row r="897" spans="1:6" x14ac:dyDescent="0.25">
      <c r="A897">
        <v>4793609</v>
      </c>
      <c r="B897" t="s">
        <v>919</v>
      </c>
      <c r="C897" t="str">
        <f>"9783598112614"</f>
        <v>9783598112614</v>
      </c>
      <c r="D897" t="str">
        <f>"9783110974331"</f>
        <v>9783110974331</v>
      </c>
      <c r="E897" t="s">
        <v>53</v>
      </c>
      <c r="F897" s="1">
        <v>34684</v>
      </c>
    </row>
    <row r="898" spans="1:6" x14ac:dyDescent="0.25">
      <c r="A898">
        <v>4793742</v>
      </c>
      <c r="B898" t="s">
        <v>920</v>
      </c>
      <c r="C898" t="str">
        <f>"9789027979711"</f>
        <v>9789027979711</v>
      </c>
      <c r="D898" t="str">
        <f>"9783110800463"</f>
        <v>9783110800463</v>
      </c>
      <c r="E898" t="s">
        <v>73</v>
      </c>
      <c r="F898" s="1">
        <v>27030</v>
      </c>
    </row>
    <row r="899" spans="1:6" x14ac:dyDescent="0.25">
      <c r="A899">
        <v>4793916</v>
      </c>
      <c r="B899" t="s">
        <v>921</v>
      </c>
      <c r="C899" t="str">
        <f>"9783110461145"</f>
        <v>9783110461145</v>
      </c>
      <c r="D899" t="str">
        <f>"9783110463217"</f>
        <v>9783110463217</v>
      </c>
      <c r="E899" t="s">
        <v>73</v>
      </c>
      <c r="F899" s="1">
        <v>42709</v>
      </c>
    </row>
    <row r="900" spans="1:6" x14ac:dyDescent="0.25">
      <c r="A900">
        <v>4793928</v>
      </c>
      <c r="B900" t="s">
        <v>922</v>
      </c>
      <c r="C900" t="str">
        <f>"9783110480108"</f>
        <v>9783110480108</v>
      </c>
      <c r="D900" t="str">
        <f>"9783110488319"</f>
        <v>9783110488319</v>
      </c>
      <c r="E900" t="s">
        <v>53</v>
      </c>
      <c r="F900" s="1">
        <v>42723</v>
      </c>
    </row>
    <row r="901" spans="1:6" x14ac:dyDescent="0.25">
      <c r="A901">
        <v>4793929</v>
      </c>
      <c r="B901" t="s">
        <v>923</v>
      </c>
      <c r="C901" t="str">
        <f>"9783110480115"</f>
        <v>9783110480115</v>
      </c>
      <c r="D901" t="str">
        <f>"9783110488739"</f>
        <v>9783110488739</v>
      </c>
      <c r="E901" t="s">
        <v>53</v>
      </c>
      <c r="F901" s="1">
        <v>42681</v>
      </c>
    </row>
    <row r="902" spans="1:6" x14ac:dyDescent="0.25">
      <c r="A902">
        <v>4800217</v>
      </c>
      <c r="B902" t="s">
        <v>924</v>
      </c>
      <c r="C902" t="str">
        <f>"9781439914410"</f>
        <v>9781439914410</v>
      </c>
      <c r="D902" t="str">
        <f>"9781439914434"</f>
        <v>9781439914434</v>
      </c>
      <c r="E902" t="s">
        <v>47</v>
      </c>
      <c r="F902" s="1">
        <v>42797</v>
      </c>
    </row>
    <row r="903" spans="1:6" x14ac:dyDescent="0.25">
      <c r="A903">
        <v>4803047</v>
      </c>
      <c r="B903" t="s">
        <v>925</v>
      </c>
      <c r="C903" t="str">
        <f>"9782759226146"</f>
        <v>9782759226146</v>
      </c>
      <c r="D903" t="str">
        <f>"9782759226153"</f>
        <v>9782759226153</v>
      </c>
      <c r="E903" t="s">
        <v>626</v>
      </c>
      <c r="F903" s="1">
        <v>42917</v>
      </c>
    </row>
    <row r="904" spans="1:6" x14ac:dyDescent="0.25">
      <c r="A904">
        <v>4803179</v>
      </c>
      <c r="B904" t="s">
        <v>926</v>
      </c>
      <c r="C904" t="str">
        <f>""</f>
        <v/>
      </c>
      <c r="D904" t="str">
        <f>"9782759226221"</f>
        <v>9782759226221</v>
      </c>
      <c r="E904" t="s">
        <v>626</v>
      </c>
      <c r="F904" s="1">
        <v>42719</v>
      </c>
    </row>
    <row r="905" spans="1:6" x14ac:dyDescent="0.25">
      <c r="A905">
        <v>4804396</v>
      </c>
      <c r="B905" t="s">
        <v>927</v>
      </c>
      <c r="C905" t="str">
        <f>"9783110464313"</f>
        <v>9783110464313</v>
      </c>
      <c r="D905" t="str">
        <f>"9783110464337"</f>
        <v>9783110464337</v>
      </c>
      <c r="E905" t="s">
        <v>73</v>
      </c>
      <c r="F905" s="1">
        <v>42723</v>
      </c>
    </row>
    <row r="906" spans="1:6" x14ac:dyDescent="0.25">
      <c r="A906">
        <v>4804411</v>
      </c>
      <c r="B906" t="s">
        <v>928</v>
      </c>
      <c r="C906" t="str">
        <f>"9783110462777"</f>
        <v>9783110462777</v>
      </c>
      <c r="D906" t="str">
        <f>"9783110467925"</f>
        <v>9783110467925</v>
      </c>
      <c r="E906" t="s">
        <v>73</v>
      </c>
      <c r="F906" s="1">
        <v>42723</v>
      </c>
    </row>
    <row r="907" spans="1:6" x14ac:dyDescent="0.25">
      <c r="A907">
        <v>4810088</v>
      </c>
      <c r="B907" t="s">
        <v>929</v>
      </c>
      <c r="C907" t="str">
        <f>"9783110473773"</f>
        <v>9783110473773</v>
      </c>
      <c r="D907" t="str">
        <f>"9783110473780"</f>
        <v>9783110473780</v>
      </c>
      <c r="E907" t="s">
        <v>73</v>
      </c>
      <c r="F907" s="1">
        <v>42604</v>
      </c>
    </row>
    <row r="908" spans="1:6" x14ac:dyDescent="0.25">
      <c r="A908">
        <v>4811261</v>
      </c>
      <c r="B908" t="s">
        <v>930</v>
      </c>
      <c r="C908" t="str">
        <f>"9780822363002"</f>
        <v>9780822363002</v>
      </c>
      <c r="D908" t="str">
        <f>"9780822373414"</f>
        <v>9780822373414</v>
      </c>
      <c r="E908" t="s">
        <v>174</v>
      </c>
      <c r="F908" s="1">
        <v>42796</v>
      </c>
    </row>
    <row r="909" spans="1:6" x14ac:dyDescent="0.25">
      <c r="A909">
        <v>4811262</v>
      </c>
      <c r="B909" t="s">
        <v>931</v>
      </c>
      <c r="C909" t="str">
        <f>"9780822363019"</f>
        <v>9780822363019</v>
      </c>
      <c r="D909" t="str">
        <f>"9780822373407"</f>
        <v>9780822373407</v>
      </c>
      <c r="E909" t="s">
        <v>174</v>
      </c>
      <c r="F909" s="1">
        <v>42804</v>
      </c>
    </row>
    <row r="910" spans="1:6" x14ac:dyDescent="0.25">
      <c r="A910">
        <v>4812837</v>
      </c>
      <c r="B910" t="s">
        <v>932</v>
      </c>
      <c r="C910" t="str">
        <f>"9783110472042"</f>
        <v>9783110472042</v>
      </c>
      <c r="D910" t="str">
        <f>"9783110472059"</f>
        <v>9783110472059</v>
      </c>
      <c r="E910" t="s">
        <v>73</v>
      </c>
      <c r="F910" s="1">
        <v>42541</v>
      </c>
    </row>
    <row r="911" spans="1:6" x14ac:dyDescent="0.25">
      <c r="A911">
        <v>4812841</v>
      </c>
      <c r="B911" t="s">
        <v>933</v>
      </c>
      <c r="C911" t="str">
        <f>"9783110485905"</f>
        <v>9783110485905</v>
      </c>
      <c r="D911" t="str">
        <f>"9783110485912"</f>
        <v>9783110485912</v>
      </c>
      <c r="E911" t="s">
        <v>73</v>
      </c>
      <c r="F911" s="1">
        <v>42695</v>
      </c>
    </row>
    <row r="912" spans="1:6" x14ac:dyDescent="0.25">
      <c r="A912">
        <v>4813411</v>
      </c>
      <c r="B912" t="s">
        <v>934</v>
      </c>
      <c r="C912" t="str">
        <f>"9781438464039"</f>
        <v>9781438464039</v>
      </c>
      <c r="D912" t="str">
        <f>"9781438464046"</f>
        <v>9781438464046</v>
      </c>
      <c r="E912" t="s">
        <v>684</v>
      </c>
      <c r="F912" s="1">
        <v>42795</v>
      </c>
    </row>
    <row r="913" spans="1:6" x14ac:dyDescent="0.25">
      <c r="A913">
        <v>4813518</v>
      </c>
      <c r="B913" t="s">
        <v>935</v>
      </c>
      <c r="C913" t="str">
        <f>"9780822362548"</f>
        <v>9780822362548</v>
      </c>
      <c r="D913" t="str">
        <f>"9780822373599"</f>
        <v>9780822373599</v>
      </c>
      <c r="E913" t="s">
        <v>174</v>
      </c>
      <c r="F913" s="1">
        <v>42811</v>
      </c>
    </row>
    <row r="914" spans="1:6" x14ac:dyDescent="0.25">
      <c r="A914">
        <v>4815439</v>
      </c>
      <c r="B914" t="s">
        <v>936</v>
      </c>
      <c r="C914" t="str">
        <f>"9780822363064"</f>
        <v>9780822363064</v>
      </c>
      <c r="D914" t="str">
        <f>"9780822373360"</f>
        <v>9780822373360</v>
      </c>
      <c r="E914" t="s">
        <v>174</v>
      </c>
      <c r="F914" s="1">
        <v>42811</v>
      </c>
    </row>
    <row r="915" spans="1:6" x14ac:dyDescent="0.25">
      <c r="A915">
        <v>4821391</v>
      </c>
      <c r="B915" t="s">
        <v>937</v>
      </c>
      <c r="C915" t="str">
        <f>"9780822363026"</f>
        <v>9780822363026</v>
      </c>
      <c r="D915" t="str">
        <f>"9780822373391"</f>
        <v>9780822373391</v>
      </c>
      <c r="E915" t="s">
        <v>174</v>
      </c>
      <c r="F915" s="1">
        <v>42832</v>
      </c>
    </row>
    <row r="916" spans="1:6" x14ac:dyDescent="0.25">
      <c r="A916">
        <v>4822074</v>
      </c>
      <c r="B916" t="s">
        <v>938</v>
      </c>
      <c r="C916" t="str">
        <f>"9788376560465"</f>
        <v>9788376560465</v>
      </c>
      <c r="D916" t="str">
        <f>"9788376560472"</f>
        <v>9788376560472</v>
      </c>
      <c r="E916" t="s">
        <v>73</v>
      </c>
      <c r="F916" s="1">
        <v>42723</v>
      </c>
    </row>
    <row r="917" spans="1:6" x14ac:dyDescent="0.25">
      <c r="A917">
        <v>4822100</v>
      </c>
      <c r="B917" t="s">
        <v>939</v>
      </c>
      <c r="C917" t="str">
        <f>"9783110471731"</f>
        <v>9783110471731</v>
      </c>
      <c r="D917" t="str">
        <f>"9783110471748"</f>
        <v>9783110471748</v>
      </c>
      <c r="E917" t="s">
        <v>73</v>
      </c>
      <c r="F917" s="1">
        <v>42422</v>
      </c>
    </row>
    <row r="918" spans="1:6" x14ac:dyDescent="0.25">
      <c r="A918">
        <v>4822105</v>
      </c>
      <c r="B918" t="s">
        <v>940</v>
      </c>
      <c r="C918" t="str">
        <f>"9783110484595"</f>
        <v>9783110484595</v>
      </c>
      <c r="D918" t="str">
        <f>"9783110484663"</f>
        <v>9783110484663</v>
      </c>
      <c r="E918" t="s">
        <v>73</v>
      </c>
      <c r="F918" s="1">
        <v>42800</v>
      </c>
    </row>
    <row r="919" spans="1:6" x14ac:dyDescent="0.25">
      <c r="A919">
        <v>4831155</v>
      </c>
      <c r="B919" t="s">
        <v>941</v>
      </c>
      <c r="C919" t="str">
        <f>"9781783742493"</f>
        <v>9781783742493</v>
      </c>
      <c r="D919" t="str">
        <f>"9781783742509"</f>
        <v>9781783742509</v>
      </c>
      <c r="E919" t="s">
        <v>580</v>
      </c>
      <c r="F919" s="1">
        <v>42786</v>
      </c>
    </row>
    <row r="920" spans="1:6" x14ac:dyDescent="0.25">
      <c r="A920">
        <v>4831156</v>
      </c>
      <c r="B920" t="s">
        <v>942</v>
      </c>
      <c r="C920" t="str">
        <f>"9781783742646"</f>
        <v>9781783742646</v>
      </c>
      <c r="D920" t="str">
        <f>"9781783742653"</f>
        <v>9781783742653</v>
      </c>
      <c r="E920" t="s">
        <v>580</v>
      </c>
      <c r="F920" s="1">
        <v>42786</v>
      </c>
    </row>
    <row r="921" spans="1:6" x14ac:dyDescent="0.25">
      <c r="A921">
        <v>4831157</v>
      </c>
      <c r="B921" t="s">
        <v>943</v>
      </c>
      <c r="C921" t="str">
        <f>"9781783743094"</f>
        <v>9781783743094</v>
      </c>
      <c r="D921" t="str">
        <f>"9781783743100"</f>
        <v>9781783743100</v>
      </c>
      <c r="E921" t="s">
        <v>580</v>
      </c>
      <c r="F921" s="1">
        <v>42751</v>
      </c>
    </row>
    <row r="922" spans="1:6" x14ac:dyDescent="0.25">
      <c r="A922">
        <v>4831158</v>
      </c>
      <c r="B922" t="s">
        <v>944</v>
      </c>
      <c r="C922" t="str">
        <f>"9781783742691"</f>
        <v>9781783742691</v>
      </c>
      <c r="D922" t="str">
        <f>"9781783742707"</f>
        <v>9781783742707</v>
      </c>
      <c r="E922" t="s">
        <v>580</v>
      </c>
      <c r="F922" s="1">
        <v>42809</v>
      </c>
    </row>
    <row r="923" spans="1:6" x14ac:dyDescent="0.25">
      <c r="A923">
        <v>4831159</v>
      </c>
      <c r="B923" t="s">
        <v>945</v>
      </c>
      <c r="C923" t="str">
        <f>"9781783743049"</f>
        <v>9781783743049</v>
      </c>
      <c r="D923" t="str">
        <f>"9781783743056"</f>
        <v>9781783743056</v>
      </c>
      <c r="E923" t="s">
        <v>580</v>
      </c>
      <c r="F923" s="1">
        <v>42758</v>
      </c>
    </row>
    <row r="924" spans="1:6" x14ac:dyDescent="0.25">
      <c r="A924">
        <v>4845337</v>
      </c>
      <c r="B924" t="s">
        <v>946</v>
      </c>
      <c r="C924" t="str">
        <f>"9782759226177"</f>
        <v>9782759226177</v>
      </c>
      <c r="D924" t="str">
        <f>"9782759226191"</f>
        <v>9782759226191</v>
      </c>
      <c r="E924" t="s">
        <v>626</v>
      </c>
      <c r="F924" s="1">
        <v>42917</v>
      </c>
    </row>
    <row r="925" spans="1:6" x14ac:dyDescent="0.25">
      <c r="A925">
        <v>4845339</v>
      </c>
      <c r="B925" t="s">
        <v>947</v>
      </c>
      <c r="C925" t="str">
        <f>"9782759226269"</f>
        <v>9782759226269</v>
      </c>
      <c r="D925" t="str">
        <f>"9782759226283"</f>
        <v>9782759226283</v>
      </c>
      <c r="E925" t="s">
        <v>626</v>
      </c>
      <c r="F925" s="1">
        <v>42845</v>
      </c>
    </row>
    <row r="926" spans="1:6" x14ac:dyDescent="0.25">
      <c r="A926">
        <v>4853759</v>
      </c>
      <c r="B926" t="s">
        <v>948</v>
      </c>
      <c r="C926" t="str">
        <f>"9789462982598"</f>
        <v>9789462982598</v>
      </c>
      <c r="D926" t="str">
        <f>"9789048532636"</f>
        <v>9789048532636</v>
      </c>
      <c r="E926" t="s">
        <v>59</v>
      </c>
      <c r="F926" s="1">
        <v>42803</v>
      </c>
    </row>
    <row r="927" spans="1:6" x14ac:dyDescent="0.25">
      <c r="A927">
        <v>4858439</v>
      </c>
      <c r="B927" t="s">
        <v>949</v>
      </c>
      <c r="C927" t="str">
        <f>"9780822369615"</f>
        <v>9780822369615</v>
      </c>
      <c r="D927" t="str">
        <f>"9780822372912"</f>
        <v>9780822372912</v>
      </c>
      <c r="E927" t="s">
        <v>174</v>
      </c>
      <c r="F927" s="1">
        <v>42870</v>
      </c>
    </row>
    <row r="928" spans="1:6" x14ac:dyDescent="0.25">
      <c r="A928">
        <v>4864836</v>
      </c>
      <c r="B928" t="s">
        <v>950</v>
      </c>
      <c r="C928" t="str">
        <f>"9782759208869"</f>
        <v>9782759208869</v>
      </c>
      <c r="D928" t="str">
        <f>"9782759208876"</f>
        <v>9782759208876</v>
      </c>
      <c r="E928" t="s">
        <v>626</v>
      </c>
      <c r="F928" s="1">
        <v>40179</v>
      </c>
    </row>
    <row r="929" spans="1:6" x14ac:dyDescent="0.25">
      <c r="A929">
        <v>4873061</v>
      </c>
      <c r="B929" t="s">
        <v>951</v>
      </c>
      <c r="C929" t="str">
        <f>""</f>
        <v/>
      </c>
      <c r="D929" t="str">
        <f>"9782759227198"</f>
        <v>9782759227198</v>
      </c>
      <c r="E929" t="s">
        <v>626</v>
      </c>
      <c r="F929" s="1">
        <v>42887</v>
      </c>
    </row>
    <row r="930" spans="1:6" x14ac:dyDescent="0.25">
      <c r="A930">
        <v>4901448</v>
      </c>
      <c r="B930" t="s">
        <v>952</v>
      </c>
      <c r="C930" t="str">
        <f>"9781783740888"</f>
        <v>9781783740888</v>
      </c>
      <c r="D930" t="str">
        <f>"9781783740895"</f>
        <v>9781783740895</v>
      </c>
      <c r="E930" t="s">
        <v>580</v>
      </c>
      <c r="F930" s="1">
        <v>42846</v>
      </c>
    </row>
    <row r="931" spans="1:6" x14ac:dyDescent="0.25">
      <c r="A931">
        <v>4901449</v>
      </c>
      <c r="B931" t="s">
        <v>953</v>
      </c>
      <c r="C931" t="str">
        <f>"9781783743797"</f>
        <v>9781783743797</v>
      </c>
      <c r="D931" t="str">
        <f>"9781783743803"</f>
        <v>9781783743803</v>
      </c>
      <c r="E931" t="s">
        <v>580</v>
      </c>
      <c r="F931" s="1">
        <v>42909</v>
      </c>
    </row>
    <row r="932" spans="1:6" x14ac:dyDescent="0.25">
      <c r="A932">
        <v>4901450</v>
      </c>
      <c r="B932" t="s">
        <v>954</v>
      </c>
      <c r="C932" t="str">
        <f>"9781783743247"</f>
        <v>9781783743247</v>
      </c>
      <c r="D932" t="str">
        <f>"9781783743254"</f>
        <v>9781783743254</v>
      </c>
      <c r="E932" t="s">
        <v>580</v>
      </c>
      <c r="F932" s="1">
        <v>42884</v>
      </c>
    </row>
    <row r="933" spans="1:6" x14ac:dyDescent="0.25">
      <c r="A933">
        <v>4901451</v>
      </c>
      <c r="B933" t="s">
        <v>955</v>
      </c>
      <c r="C933" t="str">
        <f>"9781783743292"</f>
        <v>9781783743292</v>
      </c>
      <c r="D933" t="str">
        <f>"9781783743308"</f>
        <v>9781783743308</v>
      </c>
      <c r="E933" t="s">
        <v>580</v>
      </c>
      <c r="F933" s="1">
        <v>42901</v>
      </c>
    </row>
    <row r="934" spans="1:6" x14ac:dyDescent="0.25">
      <c r="A934">
        <v>4901452</v>
      </c>
      <c r="B934" t="s">
        <v>956</v>
      </c>
      <c r="C934" t="str">
        <f>"9781783743445"</f>
        <v>9781783743445</v>
      </c>
      <c r="D934" t="str">
        <f>"9781783743452"</f>
        <v>9781783743452</v>
      </c>
      <c r="E934" t="s">
        <v>580</v>
      </c>
      <c r="F934" s="1">
        <v>42856</v>
      </c>
    </row>
    <row r="935" spans="1:6" x14ac:dyDescent="0.25">
      <c r="A935">
        <v>4901459</v>
      </c>
      <c r="B935" t="s">
        <v>957</v>
      </c>
      <c r="C935" t="str">
        <f>"9781783743193"</f>
        <v>9781783743193</v>
      </c>
      <c r="D935" t="str">
        <f>"9781783743209"</f>
        <v>9781783743209</v>
      </c>
      <c r="E935" t="s">
        <v>580</v>
      </c>
      <c r="F935" s="1">
        <v>42870</v>
      </c>
    </row>
    <row r="936" spans="1:6" x14ac:dyDescent="0.25">
      <c r="A936">
        <v>4901620</v>
      </c>
      <c r="B936" t="s">
        <v>958</v>
      </c>
      <c r="C936" t="str">
        <f>""</f>
        <v/>
      </c>
      <c r="D936" t="str">
        <f>"9782759227310"</f>
        <v>9782759227310</v>
      </c>
      <c r="E936" t="s">
        <v>626</v>
      </c>
      <c r="F936" s="1">
        <v>42919</v>
      </c>
    </row>
    <row r="937" spans="1:6" x14ac:dyDescent="0.25">
      <c r="A937">
        <v>4914163</v>
      </c>
      <c r="B937" t="s">
        <v>959</v>
      </c>
      <c r="C937" t="str">
        <f>"9781439914328"</f>
        <v>9781439914328</v>
      </c>
      <c r="D937" t="str">
        <f>"9781439914342"</f>
        <v>9781439914342</v>
      </c>
      <c r="E937" t="s">
        <v>47</v>
      </c>
      <c r="F937" s="1">
        <v>42870</v>
      </c>
    </row>
    <row r="938" spans="1:6" x14ac:dyDescent="0.25">
      <c r="A938">
        <v>4915237</v>
      </c>
      <c r="B938" t="s">
        <v>960</v>
      </c>
      <c r="C938" t="str">
        <f>"9789027212498"</f>
        <v>9789027212498</v>
      </c>
      <c r="D938" t="str">
        <f>"9789027265739"</f>
        <v>9789027265739</v>
      </c>
      <c r="E938" t="s">
        <v>413</v>
      </c>
      <c r="F938" s="1">
        <v>42886</v>
      </c>
    </row>
    <row r="939" spans="1:6" x14ac:dyDescent="0.25">
      <c r="A939">
        <v>4983489</v>
      </c>
      <c r="B939" t="s">
        <v>961</v>
      </c>
      <c r="C939" t="str">
        <f>"9789027244567"</f>
        <v>9789027244567</v>
      </c>
      <c r="D939" t="str">
        <f>"9789027265890"</f>
        <v>9789027265890</v>
      </c>
      <c r="E939" t="s">
        <v>413</v>
      </c>
      <c r="F939" s="1">
        <v>42928</v>
      </c>
    </row>
    <row r="940" spans="1:6" x14ac:dyDescent="0.25">
      <c r="A940">
        <v>4983510</v>
      </c>
      <c r="B940" t="s">
        <v>962</v>
      </c>
      <c r="C940" t="str">
        <f>"9789027252760"</f>
        <v>9789027252760</v>
      </c>
      <c r="D940" t="str">
        <f>"9789027265807"</f>
        <v>9789027265807</v>
      </c>
      <c r="E940" t="s">
        <v>413</v>
      </c>
      <c r="F940" s="1">
        <v>42942</v>
      </c>
    </row>
    <row r="941" spans="1:6" x14ac:dyDescent="0.25">
      <c r="A941">
        <v>5046618</v>
      </c>
      <c r="B941" t="s">
        <v>963</v>
      </c>
      <c r="C941" t="str">
        <f>"9789462981362"</f>
        <v>9789462981362</v>
      </c>
      <c r="D941" t="str">
        <f>"9789048531011"</f>
        <v>9789048531011</v>
      </c>
      <c r="E941" t="s">
        <v>59</v>
      </c>
      <c r="F941" s="1">
        <v>42787</v>
      </c>
    </row>
    <row r="942" spans="1:6" x14ac:dyDescent="0.25">
      <c r="A942">
        <v>5106141</v>
      </c>
      <c r="B942" t="s">
        <v>964</v>
      </c>
      <c r="C942" t="str">
        <f>"9783110533453"</f>
        <v>9783110533453</v>
      </c>
      <c r="D942" t="str">
        <f>"9783110534511"</f>
        <v>9783110534511</v>
      </c>
      <c r="E942" t="s">
        <v>73</v>
      </c>
      <c r="F942" s="1">
        <v>43018</v>
      </c>
    </row>
    <row r="943" spans="1:6" x14ac:dyDescent="0.25">
      <c r="A943">
        <v>5115277</v>
      </c>
      <c r="B943" t="s">
        <v>965</v>
      </c>
      <c r="C943" t="str">
        <f>"9781783743490"</f>
        <v>9781783743490</v>
      </c>
      <c r="D943" t="str">
        <f>"9781783743506"</f>
        <v>9781783743506</v>
      </c>
      <c r="E943" t="s">
        <v>580</v>
      </c>
      <c r="F943" s="1">
        <v>42926</v>
      </c>
    </row>
    <row r="944" spans="1:6" x14ac:dyDescent="0.25">
      <c r="A944">
        <v>5115278</v>
      </c>
      <c r="B944" t="s">
        <v>966</v>
      </c>
      <c r="C944" t="str">
        <f>"9781783743698"</f>
        <v>9781783743698</v>
      </c>
      <c r="D944" t="str">
        <f>"9781783743704"</f>
        <v>9781783743704</v>
      </c>
      <c r="E944" t="s">
        <v>580</v>
      </c>
      <c r="F944" s="1">
        <v>43017</v>
      </c>
    </row>
    <row r="945" spans="1:6" x14ac:dyDescent="0.25">
      <c r="A945">
        <v>5115280</v>
      </c>
      <c r="B945" t="s">
        <v>967</v>
      </c>
      <c r="C945" t="str">
        <f>"9781783743896"</f>
        <v>9781783743896</v>
      </c>
      <c r="D945" t="str">
        <f>"9781783743902"</f>
        <v>9781783743902</v>
      </c>
      <c r="E945" t="s">
        <v>580</v>
      </c>
      <c r="F945" s="1">
        <v>42947</v>
      </c>
    </row>
    <row r="946" spans="1:6" x14ac:dyDescent="0.25">
      <c r="A946">
        <v>5115281</v>
      </c>
      <c r="B946" t="s">
        <v>968</v>
      </c>
      <c r="C946" t="str">
        <f>"9781783743995"</f>
        <v>9781783743995</v>
      </c>
      <c r="D946" t="str">
        <f>"9781783744008"</f>
        <v>9781783744008</v>
      </c>
      <c r="E946" t="s">
        <v>580</v>
      </c>
      <c r="F946" s="1">
        <v>42968</v>
      </c>
    </row>
    <row r="947" spans="1:6" x14ac:dyDescent="0.25">
      <c r="A947">
        <v>5115282</v>
      </c>
      <c r="B947" t="s">
        <v>969</v>
      </c>
      <c r="C947" t="str">
        <f>"9781783744046"</f>
        <v>9781783744046</v>
      </c>
      <c r="D947" t="str">
        <f>"9781783744053"</f>
        <v>9781783744053</v>
      </c>
      <c r="E947" t="s">
        <v>580</v>
      </c>
      <c r="F947" s="1">
        <v>43024</v>
      </c>
    </row>
    <row r="948" spans="1:6" x14ac:dyDescent="0.25">
      <c r="A948">
        <v>5115283</v>
      </c>
      <c r="B948" t="s">
        <v>970</v>
      </c>
      <c r="C948" t="str">
        <f>"9781783742240"</f>
        <v>9781783742240</v>
      </c>
      <c r="D948" t="str">
        <f>"9781783742257"</f>
        <v>9781783742257</v>
      </c>
      <c r="E948" t="s">
        <v>580</v>
      </c>
      <c r="F948" s="1">
        <v>42986</v>
      </c>
    </row>
    <row r="949" spans="1:6" x14ac:dyDescent="0.25">
      <c r="A949">
        <v>5149154</v>
      </c>
      <c r="B949" t="s">
        <v>971</v>
      </c>
      <c r="C949" t="str">
        <f>"9781438466873"</f>
        <v>9781438466873</v>
      </c>
      <c r="D949" t="str">
        <f>"9781438466897"</f>
        <v>9781438466897</v>
      </c>
      <c r="E949" t="s">
        <v>684</v>
      </c>
      <c r="F949" s="1">
        <v>43070</v>
      </c>
    </row>
    <row r="950" spans="1:6" x14ac:dyDescent="0.25">
      <c r="A950">
        <v>5153913</v>
      </c>
      <c r="B950" t="s">
        <v>972</v>
      </c>
      <c r="C950" t="str">
        <f>"9783110194777"</f>
        <v>9783110194777</v>
      </c>
      <c r="D950" t="str">
        <f>"9783110216943"</f>
        <v>9783110216943</v>
      </c>
      <c r="E950" t="s">
        <v>53</v>
      </c>
      <c r="F950" s="1">
        <v>43454</v>
      </c>
    </row>
    <row r="951" spans="1:6" x14ac:dyDescent="0.25">
      <c r="A951">
        <v>5163005</v>
      </c>
      <c r="B951" t="s">
        <v>973</v>
      </c>
      <c r="C951" t="str">
        <f>"9789027200204"</f>
        <v>9789027200204</v>
      </c>
      <c r="D951" t="str">
        <f>"9789027264503"</f>
        <v>9789027264503</v>
      </c>
      <c r="E951" t="s">
        <v>413</v>
      </c>
      <c r="F951" s="1">
        <v>43083</v>
      </c>
    </row>
    <row r="952" spans="1:6" x14ac:dyDescent="0.25">
      <c r="A952">
        <v>5163009</v>
      </c>
      <c r="B952" t="s">
        <v>974</v>
      </c>
      <c r="C952" t="str">
        <f>"9789027257253"</f>
        <v>9789027257253</v>
      </c>
      <c r="D952" t="str">
        <f>"9789027264879"</f>
        <v>9789027264879</v>
      </c>
      <c r="E952" t="s">
        <v>413</v>
      </c>
      <c r="F952" s="1">
        <v>43090</v>
      </c>
    </row>
    <row r="953" spans="1:6" x14ac:dyDescent="0.25">
      <c r="A953">
        <v>5173432</v>
      </c>
      <c r="B953" t="s">
        <v>975</v>
      </c>
      <c r="C953" t="str">
        <f>"9780822369226"</f>
        <v>9780822369226</v>
      </c>
      <c r="D953" t="str">
        <f>"9780822372363"</f>
        <v>9780822372363</v>
      </c>
      <c r="E953" t="s">
        <v>174</v>
      </c>
      <c r="F953" s="1">
        <v>43091</v>
      </c>
    </row>
    <row r="954" spans="1:6" x14ac:dyDescent="0.25">
      <c r="A954">
        <v>5181675</v>
      </c>
      <c r="B954" t="s">
        <v>976</v>
      </c>
      <c r="C954" t="str">
        <f>"9789027212559"</f>
        <v>9789027212559</v>
      </c>
      <c r="D954" t="str">
        <f>"9789027264640"</f>
        <v>9789027264640</v>
      </c>
      <c r="E954" t="s">
        <v>413</v>
      </c>
      <c r="F954" s="1">
        <v>43090</v>
      </c>
    </row>
    <row r="955" spans="1:6" x14ac:dyDescent="0.25">
      <c r="A955">
        <v>5188465</v>
      </c>
      <c r="B955" t="s">
        <v>977</v>
      </c>
      <c r="C955" t="str">
        <f>"9781780409139"</f>
        <v>9781780409139</v>
      </c>
      <c r="D955" t="str">
        <f>"9781780409146"</f>
        <v>9781780409146</v>
      </c>
      <c r="E955" t="s">
        <v>570</v>
      </c>
      <c r="F955" s="1">
        <v>43084</v>
      </c>
    </row>
    <row r="956" spans="1:6" x14ac:dyDescent="0.25">
      <c r="A956">
        <v>5210801</v>
      </c>
      <c r="B956" t="s">
        <v>978</v>
      </c>
      <c r="C956" t="str">
        <f>"9781438467856"</f>
        <v>9781438467856</v>
      </c>
      <c r="D956" t="str">
        <f>"9781438467863"</f>
        <v>9781438467863</v>
      </c>
      <c r="E956" t="s">
        <v>684</v>
      </c>
      <c r="F956" s="1">
        <v>43079</v>
      </c>
    </row>
    <row r="957" spans="1:6" x14ac:dyDescent="0.25">
      <c r="A957">
        <v>5211463</v>
      </c>
      <c r="B957" t="s">
        <v>979</v>
      </c>
      <c r="C957" t="str">
        <f>"9781439914595"</f>
        <v>9781439914595</v>
      </c>
      <c r="D957" t="str">
        <f>"9781439914618"</f>
        <v>9781439914618</v>
      </c>
      <c r="E957" t="s">
        <v>47</v>
      </c>
      <c r="F957" s="1">
        <v>43132</v>
      </c>
    </row>
    <row r="958" spans="1:6" x14ac:dyDescent="0.25">
      <c r="A958">
        <v>5216067</v>
      </c>
      <c r="B958" t="s">
        <v>980</v>
      </c>
      <c r="C958" t="str">
        <f>"9781783744220"</f>
        <v>9781783744220</v>
      </c>
      <c r="D958" t="str">
        <f>"9781783744237"</f>
        <v>9781783744237</v>
      </c>
      <c r="E958" t="s">
        <v>580</v>
      </c>
      <c r="F958" s="1">
        <v>43080</v>
      </c>
    </row>
    <row r="959" spans="1:6" x14ac:dyDescent="0.25">
      <c r="A959">
        <v>5216068</v>
      </c>
      <c r="B959" t="s">
        <v>981</v>
      </c>
      <c r="C959" t="str">
        <f>"9781783742844"</f>
        <v>9781783742844</v>
      </c>
      <c r="D959" t="str">
        <f>"9781783742851"</f>
        <v>9781783742851</v>
      </c>
      <c r="E959" t="s">
        <v>580</v>
      </c>
      <c r="F959" s="1">
        <v>43038</v>
      </c>
    </row>
    <row r="960" spans="1:6" x14ac:dyDescent="0.25">
      <c r="A960">
        <v>5216069</v>
      </c>
      <c r="B960" t="s">
        <v>982</v>
      </c>
      <c r="C960" t="str">
        <f>"9781783743391"</f>
        <v>9781783743391</v>
      </c>
      <c r="D960" t="str">
        <f>"9781783743407"</f>
        <v>9781783743407</v>
      </c>
      <c r="E960" t="s">
        <v>580</v>
      </c>
      <c r="F960" s="1">
        <v>43052</v>
      </c>
    </row>
    <row r="961" spans="1:6" x14ac:dyDescent="0.25">
      <c r="A961">
        <v>5216070</v>
      </c>
      <c r="B961" t="s">
        <v>983</v>
      </c>
      <c r="C961" t="str">
        <f>"9781783743599"</f>
        <v>9781783743599</v>
      </c>
      <c r="D961" t="str">
        <f>"9781783743605"</f>
        <v>9781783743605</v>
      </c>
      <c r="E961" t="s">
        <v>580</v>
      </c>
      <c r="F961" s="1">
        <v>43073</v>
      </c>
    </row>
    <row r="962" spans="1:6" x14ac:dyDescent="0.25">
      <c r="A962">
        <v>5216071</v>
      </c>
      <c r="B962" t="s">
        <v>984</v>
      </c>
      <c r="C962" t="str">
        <f>"9781783743742"</f>
        <v>9781783743742</v>
      </c>
      <c r="D962" t="str">
        <f>"9781783743759"</f>
        <v>9781783743759</v>
      </c>
      <c r="E962" t="s">
        <v>580</v>
      </c>
      <c r="F962" s="1">
        <v>43066</v>
      </c>
    </row>
    <row r="963" spans="1:6" x14ac:dyDescent="0.25">
      <c r="A963">
        <v>5216072</v>
      </c>
      <c r="B963" t="s">
        <v>985</v>
      </c>
      <c r="C963" t="str">
        <f>"9781783744114"</f>
        <v>9781783744114</v>
      </c>
      <c r="D963" t="str">
        <f>"9781783744121"</f>
        <v>9781783744121</v>
      </c>
      <c r="E963" t="s">
        <v>580</v>
      </c>
      <c r="F963" s="1">
        <v>43087</v>
      </c>
    </row>
    <row r="964" spans="1:6" x14ac:dyDescent="0.25">
      <c r="A964">
        <v>5216073</v>
      </c>
      <c r="B964" t="s">
        <v>986</v>
      </c>
      <c r="C964" t="str">
        <f>"9781783743841"</f>
        <v>9781783743841</v>
      </c>
      <c r="D964" t="str">
        <f>"9781783743858"</f>
        <v>9781783743858</v>
      </c>
      <c r="E964" t="s">
        <v>580</v>
      </c>
      <c r="F964" s="1">
        <v>43038</v>
      </c>
    </row>
    <row r="965" spans="1:6" x14ac:dyDescent="0.25">
      <c r="A965">
        <v>5216297</v>
      </c>
      <c r="B965" t="s">
        <v>987</v>
      </c>
      <c r="C965" t="str">
        <f>"9789089649447"</f>
        <v>9789089649447</v>
      </c>
      <c r="D965" t="str">
        <f>"9789048528387"</f>
        <v>9789048528387</v>
      </c>
      <c r="E965" t="s">
        <v>59</v>
      </c>
      <c r="F965" s="1">
        <v>42975</v>
      </c>
    </row>
    <row r="966" spans="1:6" x14ac:dyDescent="0.25">
      <c r="A966">
        <v>5219276</v>
      </c>
      <c r="B966" t="s">
        <v>988</v>
      </c>
      <c r="C966" t="str">
        <f>"9789089647191"</f>
        <v>9789089647191</v>
      </c>
      <c r="D966" t="str">
        <f>"9789048524518"</f>
        <v>9789048524518</v>
      </c>
      <c r="E966" t="s">
        <v>59</v>
      </c>
      <c r="F966" s="1">
        <v>42814</v>
      </c>
    </row>
    <row r="967" spans="1:6" x14ac:dyDescent="0.25">
      <c r="A967">
        <v>5231729</v>
      </c>
      <c r="B967" t="s">
        <v>989</v>
      </c>
      <c r="C967" t="str">
        <f>"9789462986046"</f>
        <v>9789462986046</v>
      </c>
      <c r="D967" t="str">
        <f>"9789048537280"</f>
        <v>9789048537280</v>
      </c>
      <c r="E967" t="s">
        <v>59</v>
      </c>
      <c r="F967" s="1">
        <v>43084</v>
      </c>
    </row>
    <row r="968" spans="1:6" x14ac:dyDescent="0.25">
      <c r="A968">
        <v>5231730</v>
      </c>
      <c r="B968" t="s">
        <v>990</v>
      </c>
      <c r="C968" t="str">
        <f>"9789462982277"</f>
        <v>9789462982277</v>
      </c>
      <c r="D968" t="str">
        <f>"9789048532179"</f>
        <v>9789048532179</v>
      </c>
      <c r="E968" t="s">
        <v>59</v>
      </c>
      <c r="F968" s="1">
        <v>43070</v>
      </c>
    </row>
    <row r="969" spans="1:6" x14ac:dyDescent="0.25">
      <c r="A969">
        <v>5240698</v>
      </c>
      <c r="B969" t="s">
        <v>991</v>
      </c>
      <c r="C969" t="str">
        <f>"9780822369356"</f>
        <v>9780822369356</v>
      </c>
      <c r="D969" t="str">
        <f>"9780822372400"</f>
        <v>9780822372400</v>
      </c>
      <c r="E969" t="s">
        <v>174</v>
      </c>
      <c r="F969" s="1">
        <v>43138</v>
      </c>
    </row>
    <row r="970" spans="1:6" x14ac:dyDescent="0.25">
      <c r="A970">
        <v>5253046</v>
      </c>
      <c r="B970" t="s">
        <v>992</v>
      </c>
      <c r="C970" t="str">
        <f>"9781783740536"</f>
        <v>9781783740536</v>
      </c>
      <c r="D970" t="str">
        <f>"9781783740543"</f>
        <v>9781783740543</v>
      </c>
      <c r="E970" t="s">
        <v>580</v>
      </c>
      <c r="F970" s="1">
        <v>41966</v>
      </c>
    </row>
    <row r="971" spans="1:6" x14ac:dyDescent="0.25">
      <c r="A971">
        <v>5253047</v>
      </c>
      <c r="B971" t="s">
        <v>993</v>
      </c>
      <c r="C971" t="str">
        <f>"9781783740680"</f>
        <v>9781783740680</v>
      </c>
      <c r="D971" t="str">
        <f>"9781783740697"</f>
        <v>9781783740697</v>
      </c>
      <c r="E971" t="s">
        <v>580</v>
      </c>
      <c r="F971" s="1">
        <v>41925</v>
      </c>
    </row>
    <row r="972" spans="1:6" x14ac:dyDescent="0.25">
      <c r="A972">
        <v>5253048</v>
      </c>
      <c r="B972" t="s">
        <v>994</v>
      </c>
      <c r="C972" t="str">
        <f>"9781783740734"</f>
        <v>9781783740734</v>
      </c>
      <c r="D972" t="str">
        <f>"9781783740741"</f>
        <v>9781783740741</v>
      </c>
      <c r="E972" t="s">
        <v>580</v>
      </c>
      <c r="F972" s="1">
        <v>41903</v>
      </c>
    </row>
    <row r="973" spans="1:6" x14ac:dyDescent="0.25">
      <c r="A973">
        <v>5253049</v>
      </c>
      <c r="B973" t="s">
        <v>995</v>
      </c>
      <c r="C973" t="str">
        <f>"9781783740932"</f>
        <v>9781783740932</v>
      </c>
      <c r="D973" t="str">
        <f>"9781783740949"</f>
        <v>9781783740949</v>
      </c>
      <c r="E973" t="s">
        <v>580</v>
      </c>
      <c r="F973" s="1">
        <v>41980</v>
      </c>
    </row>
    <row r="974" spans="1:6" x14ac:dyDescent="0.25">
      <c r="A974">
        <v>5253050</v>
      </c>
      <c r="B974" t="s">
        <v>996</v>
      </c>
      <c r="C974" t="str">
        <f>"9781909254862"</f>
        <v>9781909254862</v>
      </c>
      <c r="D974" t="str">
        <f>"9781909254879"</f>
        <v>9781909254879</v>
      </c>
      <c r="E974" t="s">
        <v>580</v>
      </c>
      <c r="F974" s="1">
        <v>41967</v>
      </c>
    </row>
    <row r="975" spans="1:6" x14ac:dyDescent="0.25">
      <c r="A975">
        <v>5255601</v>
      </c>
      <c r="B975" t="s">
        <v>997</v>
      </c>
      <c r="C975" t="str">
        <f>"9782759226375"</f>
        <v>9782759226375</v>
      </c>
      <c r="D975" t="str">
        <f>"9782759226399"</f>
        <v>9782759226399</v>
      </c>
      <c r="E975" t="s">
        <v>626</v>
      </c>
      <c r="F975" s="1">
        <v>43111</v>
      </c>
    </row>
    <row r="976" spans="1:6" x14ac:dyDescent="0.25">
      <c r="A976">
        <v>5255604</v>
      </c>
      <c r="B976" t="s">
        <v>998</v>
      </c>
      <c r="C976" t="str">
        <f>"9782759227365"</f>
        <v>9782759227365</v>
      </c>
      <c r="D976" t="str">
        <f>"9782759227389"</f>
        <v>9782759227389</v>
      </c>
      <c r="E976" t="s">
        <v>626</v>
      </c>
      <c r="F976" s="1">
        <v>43104</v>
      </c>
    </row>
    <row r="977" spans="1:6" x14ac:dyDescent="0.25">
      <c r="A977">
        <v>5295007</v>
      </c>
      <c r="B977" t="s">
        <v>999</v>
      </c>
      <c r="C977" t="str">
        <f>"9780822370130"</f>
        <v>9780822370130</v>
      </c>
      <c r="D977" t="str">
        <f>"9780822372165"</f>
        <v>9780822372165</v>
      </c>
      <c r="E977" t="s">
        <v>174</v>
      </c>
      <c r="F977" s="1">
        <v>43144</v>
      </c>
    </row>
    <row r="978" spans="1:6" x14ac:dyDescent="0.25">
      <c r="A978">
        <v>5295010</v>
      </c>
      <c r="B978" t="s">
        <v>1000</v>
      </c>
      <c r="C978" t="str">
        <f>"9780822370413"</f>
        <v>9780822370413</v>
      </c>
      <c r="D978" t="str">
        <f>"9780822372042"</f>
        <v>9780822372042</v>
      </c>
      <c r="E978" t="s">
        <v>174</v>
      </c>
      <c r="F978" s="1">
        <v>43161</v>
      </c>
    </row>
    <row r="979" spans="1:6" x14ac:dyDescent="0.25">
      <c r="A979">
        <v>5322539</v>
      </c>
      <c r="B979" t="s">
        <v>1001</v>
      </c>
      <c r="C979" t="str">
        <f>"9780822370741"</f>
        <v>9780822370741</v>
      </c>
      <c r="D979" t="str">
        <f>"9780822371823"</f>
        <v>9780822371823</v>
      </c>
      <c r="E979" t="s">
        <v>174</v>
      </c>
      <c r="F979" s="1">
        <v>43194</v>
      </c>
    </row>
    <row r="980" spans="1:6" x14ac:dyDescent="0.25">
      <c r="A980">
        <v>5341488</v>
      </c>
      <c r="B980" t="s">
        <v>1002</v>
      </c>
      <c r="C980" t="str">
        <f>"9780822370475"</f>
        <v>9780822370475</v>
      </c>
      <c r="D980" t="str">
        <f>"9780822371984"</f>
        <v>9780822371984</v>
      </c>
      <c r="E980" t="s">
        <v>174</v>
      </c>
      <c r="F980" s="1">
        <v>43193</v>
      </c>
    </row>
    <row r="981" spans="1:6" x14ac:dyDescent="0.25">
      <c r="A981">
        <v>5347036</v>
      </c>
      <c r="B981" t="s">
        <v>1003</v>
      </c>
      <c r="C981" t="str">
        <f>""</f>
        <v/>
      </c>
      <c r="D981" t="str">
        <f>"9789176853276"</f>
        <v>9789176853276</v>
      </c>
      <c r="E981" t="s">
        <v>1004</v>
      </c>
      <c r="F981" s="1">
        <v>43173</v>
      </c>
    </row>
    <row r="982" spans="1:6" x14ac:dyDescent="0.25">
      <c r="A982">
        <v>5352681</v>
      </c>
      <c r="B982" t="s">
        <v>1005</v>
      </c>
      <c r="C982" t="str">
        <f>"9789089649829"</f>
        <v>9789089649829</v>
      </c>
      <c r="D982" t="str">
        <f>"9789048528981"</f>
        <v>9789048528981</v>
      </c>
      <c r="E982" t="s">
        <v>59</v>
      </c>
      <c r="F982" s="1">
        <v>43161</v>
      </c>
    </row>
    <row r="983" spans="1:6" x14ac:dyDescent="0.25">
      <c r="A983">
        <v>5355720</v>
      </c>
      <c r="B983" t="s">
        <v>1006</v>
      </c>
      <c r="C983" t="str">
        <f>"9781783743544"</f>
        <v>9781783743544</v>
      </c>
      <c r="D983" t="str">
        <f>"9781783743551"</f>
        <v>9781783743551</v>
      </c>
      <c r="E983" t="s">
        <v>580</v>
      </c>
      <c r="F983" s="1">
        <v>43137</v>
      </c>
    </row>
    <row r="984" spans="1:6" x14ac:dyDescent="0.25">
      <c r="A984">
        <v>5355721</v>
      </c>
      <c r="B984" t="s">
        <v>1007</v>
      </c>
      <c r="C984" t="str">
        <f>"9781783743148"</f>
        <v>9781783743148</v>
      </c>
      <c r="D984" t="str">
        <f>"9781783743155"</f>
        <v>9781783743155</v>
      </c>
      <c r="E984" t="s">
        <v>580</v>
      </c>
      <c r="F984" s="1">
        <v>43139</v>
      </c>
    </row>
    <row r="985" spans="1:6" x14ac:dyDescent="0.25">
      <c r="A985">
        <v>5355722</v>
      </c>
      <c r="B985" t="s">
        <v>1008</v>
      </c>
      <c r="C985" t="str">
        <f>"9781783743643"</f>
        <v>9781783743643</v>
      </c>
      <c r="D985" t="str">
        <f>"9781783743650"</f>
        <v>9781783743650</v>
      </c>
      <c r="E985" t="s">
        <v>580</v>
      </c>
      <c r="F985" s="1">
        <v>43151</v>
      </c>
    </row>
    <row r="986" spans="1:6" x14ac:dyDescent="0.25">
      <c r="A986">
        <v>5355723</v>
      </c>
      <c r="B986" t="s">
        <v>1009</v>
      </c>
      <c r="C986" t="str">
        <f>"9781783742998"</f>
        <v>9781783742998</v>
      </c>
      <c r="D986" t="str">
        <f>"9781783743001"</f>
        <v>9781783743001</v>
      </c>
      <c r="E986" t="s">
        <v>580</v>
      </c>
      <c r="F986" s="1">
        <v>43166</v>
      </c>
    </row>
    <row r="987" spans="1:6" x14ac:dyDescent="0.25">
      <c r="A987">
        <v>5355724</v>
      </c>
      <c r="B987" t="s">
        <v>1010</v>
      </c>
      <c r="C987" t="str">
        <f>"9781783744558"</f>
        <v>9781783744558</v>
      </c>
      <c r="D987" t="str">
        <f>"9781783744565"</f>
        <v>9781783744565</v>
      </c>
      <c r="E987" t="s">
        <v>580</v>
      </c>
      <c r="F987" s="1">
        <v>43181</v>
      </c>
    </row>
    <row r="988" spans="1:6" x14ac:dyDescent="0.25">
      <c r="A988">
        <v>5355725</v>
      </c>
      <c r="B988" t="s">
        <v>1011</v>
      </c>
      <c r="C988" t="str">
        <f>"9781783744749"</f>
        <v>9781783744749</v>
      </c>
      <c r="D988" t="str">
        <f>"9781783744756"</f>
        <v>9781783744756</v>
      </c>
      <c r="E988" t="s">
        <v>580</v>
      </c>
      <c r="F988" s="1">
        <v>43206</v>
      </c>
    </row>
    <row r="989" spans="1:6" x14ac:dyDescent="0.25">
      <c r="A989">
        <v>5355726</v>
      </c>
      <c r="B989" t="s">
        <v>1012</v>
      </c>
      <c r="C989" t="str">
        <f>"9781783743346"</f>
        <v>9781783743346</v>
      </c>
      <c r="D989" t="str">
        <f>"9781783743353"</f>
        <v>9781783743353</v>
      </c>
      <c r="E989" t="s">
        <v>580</v>
      </c>
      <c r="F989" s="1">
        <v>43207</v>
      </c>
    </row>
    <row r="990" spans="1:6" x14ac:dyDescent="0.25">
      <c r="A990">
        <v>5355727</v>
      </c>
      <c r="B990" t="s">
        <v>1013</v>
      </c>
      <c r="C990" t="str">
        <f>"9781783744695"</f>
        <v>9781783744695</v>
      </c>
      <c r="D990" t="str">
        <f>"9781783744701"</f>
        <v>9781783744701</v>
      </c>
      <c r="E990" t="s">
        <v>580</v>
      </c>
      <c r="F990" s="1">
        <v>43215</v>
      </c>
    </row>
    <row r="991" spans="1:6" x14ac:dyDescent="0.25">
      <c r="A991">
        <v>5356954</v>
      </c>
      <c r="B991" t="s">
        <v>1014</v>
      </c>
      <c r="C991" t="str">
        <f>"9789027200693"</f>
        <v>9789027200693</v>
      </c>
      <c r="D991" t="str">
        <f>"9789027264107"</f>
        <v>9789027264107</v>
      </c>
      <c r="E991" t="s">
        <v>413</v>
      </c>
      <c r="F991" s="1">
        <v>43242</v>
      </c>
    </row>
    <row r="992" spans="1:6" x14ac:dyDescent="0.25">
      <c r="A992">
        <v>5380632</v>
      </c>
      <c r="B992" t="s">
        <v>1015</v>
      </c>
      <c r="C992" t="str">
        <f>"9783110545302"</f>
        <v>9783110545302</v>
      </c>
      <c r="D992" t="str">
        <f>"9783110546316"</f>
        <v>9783110546316</v>
      </c>
      <c r="E992" t="s">
        <v>53</v>
      </c>
      <c r="F992" s="1">
        <v>43801</v>
      </c>
    </row>
    <row r="993" spans="1:6" x14ac:dyDescent="0.25">
      <c r="A993">
        <v>5388042</v>
      </c>
      <c r="B993" t="s">
        <v>1016</v>
      </c>
      <c r="C993" t="str">
        <f>"9781501516009"</f>
        <v>9781501516009</v>
      </c>
      <c r="D993" t="str">
        <f>"9781501516023"</f>
        <v>9781501516023</v>
      </c>
      <c r="E993" t="s">
        <v>53</v>
      </c>
      <c r="F993" s="1">
        <v>44018</v>
      </c>
    </row>
    <row r="994" spans="1:6" x14ac:dyDescent="0.25">
      <c r="A994">
        <v>5388062</v>
      </c>
      <c r="B994" t="s">
        <v>1017</v>
      </c>
      <c r="C994" t="str">
        <f>"9783110536652"</f>
        <v>9783110536652</v>
      </c>
      <c r="D994" t="str">
        <f>"9783110536690"</f>
        <v>9783110536690</v>
      </c>
      <c r="E994" t="s">
        <v>73</v>
      </c>
      <c r="F994" s="1">
        <v>43333</v>
      </c>
    </row>
    <row r="995" spans="1:6" x14ac:dyDescent="0.25">
      <c r="A995">
        <v>5388106</v>
      </c>
      <c r="B995" t="s">
        <v>1018</v>
      </c>
      <c r="C995" t="str">
        <f>"9783110539134"</f>
        <v>9783110539134</v>
      </c>
      <c r="D995" t="str">
        <f>"9783110540048"</f>
        <v>9783110540048</v>
      </c>
      <c r="E995" t="s">
        <v>73</v>
      </c>
      <c r="F995" s="1">
        <v>43073</v>
      </c>
    </row>
    <row r="996" spans="1:6" x14ac:dyDescent="0.25">
      <c r="A996">
        <v>5389606</v>
      </c>
      <c r="B996" t="s">
        <v>1019</v>
      </c>
      <c r="C996" t="str">
        <f>"9780822370727"</f>
        <v>9780822370727</v>
      </c>
      <c r="D996" t="str">
        <f>"9780822371847"</f>
        <v>9780822371847</v>
      </c>
      <c r="E996" t="s">
        <v>174</v>
      </c>
      <c r="F996" s="1">
        <v>43238</v>
      </c>
    </row>
    <row r="997" spans="1:6" x14ac:dyDescent="0.25">
      <c r="A997">
        <v>5428863</v>
      </c>
      <c r="B997" t="s">
        <v>1020</v>
      </c>
      <c r="C997" t="str">
        <f>"9783110557534"</f>
        <v>9783110557534</v>
      </c>
      <c r="D997" t="str">
        <f>"9783110557602"</f>
        <v>9783110557602</v>
      </c>
      <c r="E997" t="s">
        <v>73</v>
      </c>
      <c r="F997" s="1">
        <v>43696</v>
      </c>
    </row>
    <row r="998" spans="1:6" x14ac:dyDescent="0.25">
      <c r="A998">
        <v>5435775</v>
      </c>
      <c r="B998" t="s">
        <v>1021</v>
      </c>
      <c r="C998" t="str">
        <f>"9783110536874"</f>
        <v>9783110536874</v>
      </c>
      <c r="D998" t="str">
        <f>"9783110536881"</f>
        <v>9783110536881</v>
      </c>
      <c r="E998" t="s">
        <v>73</v>
      </c>
      <c r="F998" s="1">
        <v>43318</v>
      </c>
    </row>
    <row r="999" spans="1:6" x14ac:dyDescent="0.25">
      <c r="A999">
        <v>5447338</v>
      </c>
      <c r="B999" t="s">
        <v>1022</v>
      </c>
      <c r="C999" t="str">
        <f>"9783110543070"</f>
        <v>9783110543070</v>
      </c>
      <c r="D999" t="str">
        <f>"9783110543087"</f>
        <v>9783110543087</v>
      </c>
      <c r="E999" t="s">
        <v>73</v>
      </c>
      <c r="F999" s="1">
        <v>43801</v>
      </c>
    </row>
    <row r="1000" spans="1:6" x14ac:dyDescent="0.25">
      <c r="A1000">
        <v>5447342</v>
      </c>
      <c r="B1000" t="s">
        <v>1023</v>
      </c>
      <c r="C1000" t="str">
        <f>"9783110551686"</f>
        <v>9783110551686</v>
      </c>
      <c r="D1000" t="str">
        <f>"9783110553321"</f>
        <v>9783110553321</v>
      </c>
      <c r="E1000" t="s">
        <v>73</v>
      </c>
      <c r="F1000" s="1">
        <v>43367</v>
      </c>
    </row>
    <row r="1001" spans="1:6" x14ac:dyDescent="0.25">
      <c r="A1001">
        <v>5447345</v>
      </c>
      <c r="B1001" t="s">
        <v>1024</v>
      </c>
      <c r="C1001" t="str">
        <f>"9783110563429"</f>
        <v>9783110563429</v>
      </c>
      <c r="D1001" t="str">
        <f>"9783110563436"</f>
        <v>9783110563436</v>
      </c>
      <c r="E1001" t="s">
        <v>73</v>
      </c>
      <c r="F1001" s="1">
        <v>43381</v>
      </c>
    </row>
    <row r="1002" spans="1:6" x14ac:dyDescent="0.25">
      <c r="A1002">
        <v>5447348</v>
      </c>
      <c r="B1002" t="s">
        <v>1025</v>
      </c>
      <c r="C1002" t="str">
        <f>"9781501512636"</f>
        <v>9781501512636</v>
      </c>
      <c r="D1002" t="str">
        <f>"9781501504518"</f>
        <v>9781501504518</v>
      </c>
      <c r="E1002" t="s">
        <v>73</v>
      </c>
      <c r="F1002" s="1">
        <v>43494</v>
      </c>
    </row>
    <row r="1003" spans="1:6" x14ac:dyDescent="0.25">
      <c r="A1003">
        <v>5450459</v>
      </c>
      <c r="B1003" t="s">
        <v>1026</v>
      </c>
      <c r="C1003" t="str">
        <f>"9789027200761"</f>
        <v>9789027200761</v>
      </c>
      <c r="D1003" t="str">
        <f>"9789027264022"</f>
        <v>9789027264022</v>
      </c>
      <c r="E1003" t="s">
        <v>413</v>
      </c>
      <c r="F1003" s="1">
        <v>43304</v>
      </c>
    </row>
    <row r="1004" spans="1:6" x14ac:dyDescent="0.25">
      <c r="A1004">
        <v>5473315</v>
      </c>
      <c r="B1004" t="s">
        <v>1027</v>
      </c>
      <c r="C1004" t="str">
        <f>"9781438470450"</f>
        <v>9781438470450</v>
      </c>
      <c r="D1004" t="str">
        <f>"9781438470474"</f>
        <v>9781438470474</v>
      </c>
      <c r="E1004" t="s">
        <v>684</v>
      </c>
      <c r="F1004" s="1">
        <v>43313</v>
      </c>
    </row>
    <row r="1005" spans="1:6" x14ac:dyDescent="0.25">
      <c r="A1005">
        <v>5477846</v>
      </c>
      <c r="B1005" t="s">
        <v>1028</v>
      </c>
      <c r="C1005" t="str">
        <f>"9789027201386"</f>
        <v>9789027201386</v>
      </c>
      <c r="D1005" t="str">
        <f>"9789027263599"</f>
        <v>9789027263599</v>
      </c>
      <c r="E1005" t="s">
        <v>413</v>
      </c>
      <c r="F1005" s="1">
        <v>43320</v>
      </c>
    </row>
    <row r="1006" spans="1:6" x14ac:dyDescent="0.25">
      <c r="A1006">
        <v>5493919</v>
      </c>
      <c r="B1006" t="s">
        <v>1029</v>
      </c>
      <c r="C1006" t="str">
        <f>"9781501511851"</f>
        <v>9781501511851</v>
      </c>
      <c r="D1006" t="str">
        <f>"9781501503870"</f>
        <v>9781501503870</v>
      </c>
      <c r="E1006" t="s">
        <v>53</v>
      </c>
      <c r="F1006" s="1">
        <v>42926</v>
      </c>
    </row>
    <row r="1007" spans="1:6" x14ac:dyDescent="0.25">
      <c r="A1007">
        <v>5493920</v>
      </c>
      <c r="B1007" t="s">
        <v>1030</v>
      </c>
      <c r="C1007" t="str">
        <f>"9781501515705"</f>
        <v>9781501515705</v>
      </c>
      <c r="D1007" t="str">
        <f>"9781501511806"</f>
        <v>9781501511806</v>
      </c>
      <c r="E1007" t="s">
        <v>73</v>
      </c>
      <c r="F1007" s="1">
        <v>43062</v>
      </c>
    </row>
    <row r="1008" spans="1:6" x14ac:dyDescent="0.25">
      <c r="A1008">
        <v>5493940</v>
      </c>
      <c r="B1008" t="s">
        <v>1031</v>
      </c>
      <c r="C1008" t="str">
        <f>"9783110416503"</f>
        <v>9783110416503</v>
      </c>
      <c r="D1008" t="str">
        <f>"9783110416794"</f>
        <v>9783110416794</v>
      </c>
      <c r="E1008" t="s">
        <v>73</v>
      </c>
      <c r="F1008" s="1">
        <v>42835</v>
      </c>
    </row>
    <row r="1009" spans="1:6" x14ac:dyDescent="0.25">
      <c r="A1009">
        <v>5493941</v>
      </c>
      <c r="B1009" t="s">
        <v>1032</v>
      </c>
      <c r="C1009" t="str">
        <f>"9783110447019"</f>
        <v>9783110447019</v>
      </c>
      <c r="D1009" t="str">
        <f>"9783110448184"</f>
        <v>9783110448184</v>
      </c>
      <c r="E1009" t="s">
        <v>73</v>
      </c>
      <c r="F1009" s="1">
        <v>42968</v>
      </c>
    </row>
    <row r="1010" spans="1:6" x14ac:dyDescent="0.25">
      <c r="A1010">
        <v>5493942</v>
      </c>
      <c r="B1010" t="s">
        <v>1033</v>
      </c>
      <c r="C1010" t="str">
        <f>"9783110456202"</f>
        <v>9783110456202</v>
      </c>
      <c r="D1010" t="str">
        <f>"9783110456806"</f>
        <v>9783110456806</v>
      </c>
      <c r="E1010" t="s">
        <v>73</v>
      </c>
      <c r="F1010" s="1">
        <v>42989</v>
      </c>
    </row>
    <row r="1011" spans="1:6" x14ac:dyDescent="0.25">
      <c r="A1011">
        <v>5493943</v>
      </c>
      <c r="B1011" t="s">
        <v>1034</v>
      </c>
      <c r="C1011" t="str">
        <f>"9783110457421"</f>
        <v>9783110457421</v>
      </c>
      <c r="D1011" t="str">
        <f>"9783110458657"</f>
        <v>9783110458657</v>
      </c>
      <c r="E1011" t="s">
        <v>73</v>
      </c>
      <c r="F1011" s="1">
        <v>43046</v>
      </c>
    </row>
    <row r="1012" spans="1:6" x14ac:dyDescent="0.25">
      <c r="A1012">
        <v>5493944</v>
      </c>
      <c r="B1012" t="s">
        <v>1035</v>
      </c>
      <c r="C1012" t="str">
        <f>"9783110464238"</f>
        <v>9783110464238</v>
      </c>
      <c r="D1012" t="str">
        <f>"9783110464252"</f>
        <v>9783110464252</v>
      </c>
      <c r="E1012" t="s">
        <v>73</v>
      </c>
      <c r="F1012" s="1">
        <v>42912</v>
      </c>
    </row>
    <row r="1013" spans="1:6" x14ac:dyDescent="0.25">
      <c r="A1013">
        <v>5493945</v>
      </c>
      <c r="B1013" t="s">
        <v>1036</v>
      </c>
      <c r="C1013" t="str">
        <f>"9783110464931"</f>
        <v>9783110464931</v>
      </c>
      <c r="D1013" t="str">
        <f>"9783110466850"</f>
        <v>9783110466850</v>
      </c>
      <c r="E1013" t="s">
        <v>73</v>
      </c>
      <c r="F1013" s="1">
        <v>42835</v>
      </c>
    </row>
    <row r="1014" spans="1:6" x14ac:dyDescent="0.25">
      <c r="A1014">
        <v>5493946</v>
      </c>
      <c r="B1014" t="s">
        <v>1037</v>
      </c>
      <c r="C1014" t="str">
        <f>"9783110473841"</f>
        <v>9783110473841</v>
      </c>
      <c r="D1014" t="str">
        <f>"9783110473858"</f>
        <v>9783110473858</v>
      </c>
      <c r="E1014" t="s">
        <v>73</v>
      </c>
      <c r="F1014" s="1">
        <v>42604</v>
      </c>
    </row>
    <row r="1015" spans="1:6" x14ac:dyDescent="0.25">
      <c r="A1015">
        <v>5493947</v>
      </c>
      <c r="B1015" t="s">
        <v>1038</v>
      </c>
      <c r="C1015" t="str">
        <f>"9783110477474"</f>
        <v>9783110477474</v>
      </c>
      <c r="D1015" t="str">
        <f>"9783110477498"</f>
        <v>9783110477498</v>
      </c>
      <c r="E1015" t="s">
        <v>53</v>
      </c>
      <c r="F1015" s="1">
        <v>42814</v>
      </c>
    </row>
    <row r="1016" spans="1:6" x14ac:dyDescent="0.25">
      <c r="A1016">
        <v>5493948</v>
      </c>
      <c r="B1016" t="s">
        <v>1039</v>
      </c>
      <c r="C1016" t="str">
        <f>"9783110475364"</f>
        <v>9783110475364</v>
      </c>
      <c r="D1016" t="str">
        <f>"9783110475371"</f>
        <v>9783110475371</v>
      </c>
      <c r="E1016" t="s">
        <v>73</v>
      </c>
      <c r="F1016" s="1">
        <v>42877</v>
      </c>
    </row>
    <row r="1017" spans="1:6" x14ac:dyDescent="0.25">
      <c r="A1017">
        <v>5493950</v>
      </c>
      <c r="B1017" t="s">
        <v>1040</v>
      </c>
      <c r="C1017" t="str">
        <f>"9783110480832"</f>
        <v>9783110480832</v>
      </c>
      <c r="D1017" t="str">
        <f>"9783110480849"</f>
        <v>9783110480849</v>
      </c>
      <c r="E1017" t="s">
        <v>73</v>
      </c>
      <c r="F1017" s="1">
        <v>42485</v>
      </c>
    </row>
    <row r="1018" spans="1:6" x14ac:dyDescent="0.25">
      <c r="A1018">
        <v>5493951</v>
      </c>
      <c r="B1018" t="s">
        <v>1041</v>
      </c>
      <c r="C1018" t="str">
        <f>"9783110488395"</f>
        <v>9783110488395</v>
      </c>
      <c r="D1018" t="str">
        <f>"9783110488401"</f>
        <v>9783110488401</v>
      </c>
      <c r="E1018" t="s">
        <v>73</v>
      </c>
      <c r="F1018" s="1">
        <v>42653</v>
      </c>
    </row>
    <row r="1019" spans="1:6" x14ac:dyDescent="0.25">
      <c r="A1019">
        <v>5493952</v>
      </c>
      <c r="B1019" t="s">
        <v>1042</v>
      </c>
      <c r="C1019" t="str">
        <f>"9783110496598"</f>
        <v>9783110496598</v>
      </c>
      <c r="D1019" t="str">
        <f>"9783110496604"</f>
        <v>9783110496604</v>
      </c>
      <c r="E1019" t="s">
        <v>73</v>
      </c>
      <c r="F1019" s="1">
        <v>42898</v>
      </c>
    </row>
    <row r="1020" spans="1:6" x14ac:dyDescent="0.25">
      <c r="A1020">
        <v>5493953</v>
      </c>
      <c r="B1020" t="s">
        <v>1043</v>
      </c>
      <c r="C1020" t="str">
        <f>"9783110480788"</f>
        <v>9783110480788</v>
      </c>
      <c r="D1020" t="str">
        <f>"9783110480795"</f>
        <v>9783110480795</v>
      </c>
      <c r="E1020" t="s">
        <v>73</v>
      </c>
      <c r="F1020" s="1">
        <v>42625</v>
      </c>
    </row>
    <row r="1021" spans="1:6" x14ac:dyDescent="0.25">
      <c r="A1021">
        <v>5493954</v>
      </c>
      <c r="B1021" t="s">
        <v>1044</v>
      </c>
      <c r="C1021" t="str">
        <f>"9783110497007"</f>
        <v>9783110497007</v>
      </c>
      <c r="D1021" t="str">
        <f>"9783110497656"</f>
        <v>9783110497656</v>
      </c>
      <c r="E1021" t="s">
        <v>73</v>
      </c>
      <c r="F1021" s="1">
        <v>42835</v>
      </c>
    </row>
    <row r="1022" spans="1:6" x14ac:dyDescent="0.25">
      <c r="A1022">
        <v>5493955</v>
      </c>
      <c r="B1022" t="s">
        <v>1045</v>
      </c>
      <c r="C1022" t="str">
        <f>"9783110500813"</f>
        <v>9783110500813</v>
      </c>
      <c r="D1022" t="str">
        <f>"9783110500820"</f>
        <v>9783110500820</v>
      </c>
      <c r="E1022" t="s">
        <v>73</v>
      </c>
      <c r="F1022" s="1">
        <v>42746</v>
      </c>
    </row>
    <row r="1023" spans="1:6" x14ac:dyDescent="0.25">
      <c r="A1023">
        <v>5493956</v>
      </c>
      <c r="B1023" t="s">
        <v>1046</v>
      </c>
      <c r="C1023" t="str">
        <f>"9783110500547"</f>
        <v>9783110500547</v>
      </c>
      <c r="D1023" t="str">
        <f>"9783110500882"</f>
        <v>9783110500882</v>
      </c>
      <c r="E1023" t="s">
        <v>53</v>
      </c>
      <c r="F1023" s="1">
        <v>42835</v>
      </c>
    </row>
    <row r="1024" spans="1:6" x14ac:dyDescent="0.25">
      <c r="A1024">
        <v>5493957</v>
      </c>
      <c r="B1024" t="s">
        <v>1047</v>
      </c>
      <c r="C1024" t="str">
        <f>"9783110524208"</f>
        <v>9783110524208</v>
      </c>
      <c r="D1024" t="str">
        <f>"9783110516371"</f>
        <v>9783110516371</v>
      </c>
      <c r="E1024" t="s">
        <v>53</v>
      </c>
      <c r="F1024" s="1">
        <v>42968</v>
      </c>
    </row>
    <row r="1025" spans="1:6" x14ac:dyDescent="0.25">
      <c r="A1025">
        <v>5493958</v>
      </c>
      <c r="B1025" t="s">
        <v>1048</v>
      </c>
      <c r="C1025" t="str">
        <f>"9783110517316"</f>
        <v>9783110517316</v>
      </c>
      <c r="D1025" t="str">
        <f>"9783110517323"</f>
        <v>9783110517323</v>
      </c>
      <c r="E1025" t="s">
        <v>73</v>
      </c>
      <c r="F1025" s="1">
        <v>42849</v>
      </c>
    </row>
    <row r="1026" spans="1:6" x14ac:dyDescent="0.25">
      <c r="A1026">
        <v>5493959</v>
      </c>
      <c r="B1026" t="s">
        <v>1049</v>
      </c>
      <c r="C1026" t="str">
        <f>"9783110517361"</f>
        <v>9783110517361</v>
      </c>
      <c r="D1026" t="str">
        <f>"9783110517378"</f>
        <v>9783110517378</v>
      </c>
      <c r="E1026" t="s">
        <v>73</v>
      </c>
      <c r="F1026" s="1">
        <v>42653</v>
      </c>
    </row>
    <row r="1027" spans="1:6" x14ac:dyDescent="0.25">
      <c r="A1027">
        <v>5493960</v>
      </c>
      <c r="B1027" t="s">
        <v>1050</v>
      </c>
      <c r="C1027" t="str">
        <f>"9783110522112"</f>
        <v>9783110522112</v>
      </c>
      <c r="D1027" t="str">
        <f>"9783110522143"</f>
        <v>9783110522143</v>
      </c>
      <c r="E1027" t="s">
        <v>73</v>
      </c>
      <c r="F1027" s="1">
        <v>42849</v>
      </c>
    </row>
    <row r="1028" spans="1:6" x14ac:dyDescent="0.25">
      <c r="A1028">
        <v>5493961</v>
      </c>
      <c r="B1028" t="s">
        <v>1051</v>
      </c>
      <c r="C1028" t="str">
        <f>"9783110527964"</f>
        <v>9783110527964</v>
      </c>
      <c r="D1028" t="str">
        <f>"9783110527971"</f>
        <v>9783110527971</v>
      </c>
      <c r="E1028" t="s">
        <v>73</v>
      </c>
      <c r="F1028" s="1">
        <v>43031</v>
      </c>
    </row>
    <row r="1029" spans="1:6" x14ac:dyDescent="0.25">
      <c r="A1029">
        <v>5493962</v>
      </c>
      <c r="B1029" t="s">
        <v>1052</v>
      </c>
      <c r="C1029" t="str">
        <f>"9783110523102"</f>
        <v>9783110523102</v>
      </c>
      <c r="D1029" t="str">
        <f>"9783110528114"</f>
        <v>9783110528114</v>
      </c>
      <c r="E1029" t="s">
        <v>73</v>
      </c>
      <c r="F1029" s="1">
        <v>42849</v>
      </c>
    </row>
    <row r="1030" spans="1:6" x14ac:dyDescent="0.25">
      <c r="A1030">
        <v>5493963</v>
      </c>
      <c r="B1030" t="s">
        <v>1053</v>
      </c>
      <c r="C1030" t="str">
        <f>"9783110530490"</f>
        <v>9783110530490</v>
      </c>
      <c r="D1030" t="str">
        <f>"9783110531732"</f>
        <v>9783110531732</v>
      </c>
      <c r="E1030" t="s">
        <v>53</v>
      </c>
      <c r="F1030" s="1">
        <v>42849</v>
      </c>
    </row>
    <row r="1031" spans="1:6" x14ac:dyDescent="0.25">
      <c r="A1031">
        <v>5493964</v>
      </c>
      <c r="B1031" t="s">
        <v>1054</v>
      </c>
      <c r="C1031" t="str">
        <f>"9783110529159"</f>
        <v>9783110529159</v>
      </c>
      <c r="D1031" t="str">
        <f>"9783110534597"</f>
        <v>9783110534597</v>
      </c>
      <c r="E1031" t="s">
        <v>53</v>
      </c>
      <c r="F1031" s="1">
        <v>42968</v>
      </c>
    </row>
    <row r="1032" spans="1:6" x14ac:dyDescent="0.25">
      <c r="A1032">
        <v>5493965</v>
      </c>
      <c r="B1032" t="s">
        <v>1055</v>
      </c>
      <c r="C1032" t="str">
        <f>"9783110539325"</f>
        <v>9783110539325</v>
      </c>
      <c r="D1032" t="str">
        <f>"9783110539356"</f>
        <v>9783110539356</v>
      </c>
      <c r="E1032" t="s">
        <v>73</v>
      </c>
      <c r="F1032" s="1">
        <v>42814</v>
      </c>
    </row>
    <row r="1033" spans="1:6" x14ac:dyDescent="0.25">
      <c r="A1033">
        <v>5493967</v>
      </c>
      <c r="B1033" t="s">
        <v>1056</v>
      </c>
      <c r="C1033" t="str">
        <f>"9783110540130"</f>
        <v>9783110540130</v>
      </c>
      <c r="D1033" t="str">
        <f>"9783110540147"</f>
        <v>9783110540147</v>
      </c>
      <c r="E1033" t="s">
        <v>73</v>
      </c>
      <c r="F1033" s="1">
        <v>42849</v>
      </c>
    </row>
    <row r="1034" spans="1:6" x14ac:dyDescent="0.25">
      <c r="A1034">
        <v>5493968</v>
      </c>
      <c r="B1034" t="s">
        <v>1057</v>
      </c>
      <c r="C1034" t="str">
        <f>"9783110541366"</f>
        <v>9783110541366</v>
      </c>
      <c r="D1034" t="str">
        <f>"9783110541397"</f>
        <v>9783110541397</v>
      </c>
      <c r="E1034" t="s">
        <v>73</v>
      </c>
      <c r="F1034" s="1">
        <v>43150</v>
      </c>
    </row>
    <row r="1035" spans="1:6" x14ac:dyDescent="0.25">
      <c r="A1035">
        <v>5493969</v>
      </c>
      <c r="B1035" t="s">
        <v>1058</v>
      </c>
      <c r="C1035" t="str">
        <f>"9783110541403"</f>
        <v>9783110541403</v>
      </c>
      <c r="D1035" t="str">
        <f>"9783110541441"</f>
        <v>9783110541441</v>
      </c>
      <c r="E1035" t="s">
        <v>73</v>
      </c>
      <c r="F1035" s="1">
        <v>42989</v>
      </c>
    </row>
    <row r="1036" spans="1:6" x14ac:dyDescent="0.25">
      <c r="A1036">
        <v>5493970</v>
      </c>
      <c r="B1036" t="s">
        <v>1059</v>
      </c>
      <c r="C1036" t="str">
        <f>"9783110546323"</f>
        <v>9783110546323</v>
      </c>
      <c r="D1036" t="str">
        <f>"9783110546330"</f>
        <v>9783110546330</v>
      </c>
      <c r="E1036" t="s">
        <v>73</v>
      </c>
      <c r="F1036" s="1">
        <v>42849</v>
      </c>
    </row>
    <row r="1037" spans="1:6" x14ac:dyDescent="0.25">
      <c r="A1037">
        <v>5493983</v>
      </c>
      <c r="B1037" t="s">
        <v>1060</v>
      </c>
      <c r="C1037" t="str">
        <f>"9783110546392"</f>
        <v>9783110546392</v>
      </c>
      <c r="D1037" t="str">
        <f>"9783110546422"</f>
        <v>9783110546422</v>
      </c>
      <c r="E1037" t="s">
        <v>73</v>
      </c>
      <c r="F1037" s="1">
        <v>43087</v>
      </c>
    </row>
    <row r="1038" spans="1:6" x14ac:dyDescent="0.25">
      <c r="A1038">
        <v>5493984</v>
      </c>
      <c r="B1038" t="s">
        <v>1061</v>
      </c>
      <c r="C1038" t="str">
        <f>"9783110562354"</f>
        <v>9783110562354</v>
      </c>
      <c r="D1038" t="str">
        <f>"9783110562507"</f>
        <v>9783110562507</v>
      </c>
      <c r="E1038" t="s">
        <v>73</v>
      </c>
      <c r="F1038" s="1">
        <v>43031</v>
      </c>
    </row>
    <row r="1039" spans="1:6" x14ac:dyDescent="0.25">
      <c r="A1039">
        <v>5493985</v>
      </c>
      <c r="B1039" t="s">
        <v>1062</v>
      </c>
      <c r="C1039" t="str">
        <f>"9783110538519"</f>
        <v>9783110538519</v>
      </c>
      <c r="D1039" t="str">
        <f>"9783110547474"</f>
        <v>9783110547474</v>
      </c>
      <c r="E1039" t="s">
        <v>73</v>
      </c>
      <c r="F1039" s="1">
        <v>42989</v>
      </c>
    </row>
    <row r="1040" spans="1:6" x14ac:dyDescent="0.25">
      <c r="A1040">
        <v>5493986</v>
      </c>
      <c r="B1040" t="s">
        <v>1063</v>
      </c>
      <c r="C1040" t="str">
        <f>"9783794044306"</f>
        <v>9783794044306</v>
      </c>
      <c r="D1040" t="str">
        <f>"9783111356655"</f>
        <v>9783111356655</v>
      </c>
      <c r="E1040" t="s">
        <v>73</v>
      </c>
      <c r="F1040" s="1">
        <v>28126</v>
      </c>
    </row>
    <row r="1041" spans="1:6" x14ac:dyDescent="0.25">
      <c r="A1041">
        <v>5494130</v>
      </c>
      <c r="B1041" t="s">
        <v>1064</v>
      </c>
      <c r="C1041" t="str">
        <f>"9783486568349"</f>
        <v>9783486568349</v>
      </c>
      <c r="D1041" t="str">
        <f>"9783486835441"</f>
        <v>9783486835441</v>
      </c>
      <c r="E1041" t="s">
        <v>73</v>
      </c>
      <c r="F1041" s="1">
        <v>38315</v>
      </c>
    </row>
    <row r="1042" spans="1:6" x14ac:dyDescent="0.25">
      <c r="A1042">
        <v>5494132</v>
      </c>
      <c r="B1042" t="s">
        <v>1065</v>
      </c>
      <c r="C1042" t="str">
        <f>"9783486992519"</f>
        <v>9783486992519</v>
      </c>
      <c r="D1042" t="str">
        <f>"9783486992526"</f>
        <v>9783486992526</v>
      </c>
      <c r="E1042" t="s">
        <v>73</v>
      </c>
      <c r="F1042" s="1">
        <v>42321</v>
      </c>
    </row>
    <row r="1043" spans="1:6" x14ac:dyDescent="0.25">
      <c r="A1043">
        <v>5494133</v>
      </c>
      <c r="B1043" t="s">
        <v>1066</v>
      </c>
      <c r="C1043" t="str">
        <f>"9783486992557"</f>
        <v>9783486992557</v>
      </c>
      <c r="D1043" t="str">
        <f>"9783486992564"</f>
        <v>9783486992564</v>
      </c>
      <c r="E1043" t="s">
        <v>73</v>
      </c>
      <c r="F1043" s="1">
        <v>42306</v>
      </c>
    </row>
    <row r="1044" spans="1:6" x14ac:dyDescent="0.25">
      <c r="A1044">
        <v>5494134</v>
      </c>
      <c r="B1044" t="s">
        <v>1067</v>
      </c>
      <c r="C1044" t="str">
        <f>"9783486992533"</f>
        <v>9783486992533</v>
      </c>
      <c r="D1044" t="str">
        <f>"9783486992540"</f>
        <v>9783486992540</v>
      </c>
      <c r="E1044" t="s">
        <v>73</v>
      </c>
      <c r="F1044" s="1">
        <v>42306</v>
      </c>
    </row>
    <row r="1045" spans="1:6" x14ac:dyDescent="0.25">
      <c r="A1045">
        <v>5494137</v>
      </c>
      <c r="B1045" t="s">
        <v>1068</v>
      </c>
      <c r="C1045" t="str">
        <f>"9783486992571"</f>
        <v>9783486992571</v>
      </c>
      <c r="D1045" t="str">
        <f>"9783486992588"</f>
        <v>9783486992588</v>
      </c>
      <c r="E1045" t="s">
        <v>73</v>
      </c>
      <c r="F1045" s="1">
        <v>42306</v>
      </c>
    </row>
    <row r="1046" spans="1:6" x14ac:dyDescent="0.25">
      <c r="A1046">
        <v>5494918</v>
      </c>
      <c r="B1046" t="s">
        <v>1069</v>
      </c>
      <c r="C1046" t="str">
        <f>"9783110562385"</f>
        <v>9783110562385</v>
      </c>
      <c r="D1046" t="str">
        <f>"9783110562392"</f>
        <v>9783110562392</v>
      </c>
      <c r="E1046" t="s">
        <v>73</v>
      </c>
      <c r="F1046" s="1">
        <v>42912</v>
      </c>
    </row>
    <row r="1047" spans="1:6" x14ac:dyDescent="0.25">
      <c r="A1047">
        <v>5494919</v>
      </c>
      <c r="B1047" t="s">
        <v>1070</v>
      </c>
      <c r="C1047" t="str">
        <f>"9783110439991"</f>
        <v>9783110439991</v>
      </c>
      <c r="D1047" t="str">
        <f>"9783110440003"</f>
        <v>9783110440003</v>
      </c>
      <c r="E1047" t="s">
        <v>73</v>
      </c>
      <c r="F1047" s="1">
        <v>42261</v>
      </c>
    </row>
    <row r="1048" spans="1:6" x14ac:dyDescent="0.25">
      <c r="A1048">
        <v>5494922</v>
      </c>
      <c r="B1048" t="s">
        <v>1071</v>
      </c>
      <c r="C1048" t="str">
        <f>"9783110537451"</f>
        <v>9783110537451</v>
      </c>
      <c r="D1048" t="str">
        <f>"9783110537482"</f>
        <v>9783110537482</v>
      </c>
      <c r="E1048" t="s">
        <v>73</v>
      </c>
      <c r="F1048" s="1">
        <v>43774</v>
      </c>
    </row>
    <row r="1049" spans="1:6" x14ac:dyDescent="0.25">
      <c r="A1049">
        <v>5494923</v>
      </c>
      <c r="B1049" t="s">
        <v>1072</v>
      </c>
      <c r="C1049" t="str">
        <f>"9783110574401"</f>
        <v>9783110574401</v>
      </c>
      <c r="D1049" t="str">
        <f>"9783110574432"</f>
        <v>9783110574432</v>
      </c>
      <c r="E1049" t="s">
        <v>73</v>
      </c>
      <c r="F1049" s="1">
        <v>42989</v>
      </c>
    </row>
    <row r="1050" spans="1:6" x14ac:dyDescent="0.25">
      <c r="A1050">
        <v>5494924</v>
      </c>
      <c r="B1050" t="s">
        <v>1073</v>
      </c>
      <c r="C1050" t="str">
        <f>"9788376560618"</f>
        <v>9788376560618</v>
      </c>
      <c r="D1050" t="str">
        <f>"9788376560625"</f>
        <v>9788376560625</v>
      </c>
      <c r="E1050" t="s">
        <v>73</v>
      </c>
      <c r="F1050" s="1">
        <v>41569</v>
      </c>
    </row>
    <row r="1051" spans="1:6" x14ac:dyDescent="0.25">
      <c r="A1051">
        <v>5494925</v>
      </c>
      <c r="B1051" t="s">
        <v>1074</v>
      </c>
      <c r="C1051" t="str">
        <f>"9783110449495"</f>
        <v>9783110449495</v>
      </c>
      <c r="D1051" t="str">
        <f>"9783110449501"</f>
        <v>9783110449501</v>
      </c>
      <c r="E1051" t="s">
        <v>73</v>
      </c>
      <c r="F1051" s="1">
        <v>42261</v>
      </c>
    </row>
    <row r="1052" spans="1:6" x14ac:dyDescent="0.25">
      <c r="A1052">
        <v>5494927</v>
      </c>
      <c r="B1052" t="s">
        <v>1075</v>
      </c>
      <c r="C1052" t="str">
        <f>"9783110448139"</f>
        <v>9783110448139</v>
      </c>
      <c r="D1052" t="str">
        <f>"9783110526288"</f>
        <v>9783110526288</v>
      </c>
      <c r="E1052" t="s">
        <v>73</v>
      </c>
      <c r="F1052" s="1">
        <v>42835</v>
      </c>
    </row>
    <row r="1053" spans="1:6" x14ac:dyDescent="0.25">
      <c r="A1053">
        <v>5494931</v>
      </c>
      <c r="B1053" t="s">
        <v>1076</v>
      </c>
      <c r="C1053" t="str">
        <f>"9783110534337"</f>
        <v>9783110534337</v>
      </c>
      <c r="D1053" t="str">
        <f>"9783110535655"</f>
        <v>9783110535655</v>
      </c>
      <c r="E1053" t="s">
        <v>73</v>
      </c>
      <c r="F1053" s="1">
        <v>43031</v>
      </c>
    </row>
    <row r="1054" spans="1:6" x14ac:dyDescent="0.25">
      <c r="A1054">
        <v>5494938</v>
      </c>
      <c r="B1054" t="s">
        <v>1077</v>
      </c>
      <c r="C1054" t="str">
        <f>"9783110581911"</f>
        <v>9783110581911</v>
      </c>
      <c r="D1054" t="str">
        <f>"9783110581928"</f>
        <v>9783110581928</v>
      </c>
      <c r="E1054" t="s">
        <v>73</v>
      </c>
      <c r="F1054" s="1">
        <v>43109</v>
      </c>
    </row>
    <row r="1055" spans="1:6" x14ac:dyDescent="0.25">
      <c r="A1055">
        <v>5494939</v>
      </c>
      <c r="B1055" t="s">
        <v>1078</v>
      </c>
      <c r="C1055" t="str">
        <f>"9783110471120"</f>
        <v>9783110471120</v>
      </c>
      <c r="D1055" t="str">
        <f>"9783110471137"</f>
        <v>9783110471137</v>
      </c>
      <c r="E1055" t="s">
        <v>73</v>
      </c>
      <c r="F1055" s="1">
        <v>42541</v>
      </c>
    </row>
    <row r="1056" spans="1:6" x14ac:dyDescent="0.25">
      <c r="A1056">
        <v>5494945</v>
      </c>
      <c r="B1056" t="s">
        <v>1079</v>
      </c>
      <c r="C1056" t="str">
        <f>"9783110444964"</f>
        <v>9783110444964</v>
      </c>
      <c r="D1056" t="str">
        <f>"9783110444971"</f>
        <v>9783110444971</v>
      </c>
      <c r="E1056" t="s">
        <v>73</v>
      </c>
      <c r="F1056" s="1">
        <v>42367</v>
      </c>
    </row>
    <row r="1057" spans="1:6" x14ac:dyDescent="0.25">
      <c r="A1057">
        <v>5494946</v>
      </c>
      <c r="B1057" t="s">
        <v>1080</v>
      </c>
      <c r="C1057" t="str">
        <f>"9783110526035"</f>
        <v>9783110526035</v>
      </c>
      <c r="D1057" t="str">
        <f>"9783110526042"</f>
        <v>9783110526042</v>
      </c>
      <c r="E1057" t="s">
        <v>73</v>
      </c>
      <c r="F1057" s="1">
        <v>42898</v>
      </c>
    </row>
    <row r="1058" spans="1:6" x14ac:dyDescent="0.25">
      <c r="A1058">
        <v>5494949</v>
      </c>
      <c r="B1058" t="s">
        <v>1081</v>
      </c>
      <c r="C1058" t="str">
        <f>"9783110550825"</f>
        <v>9783110550825</v>
      </c>
      <c r="D1058" t="str">
        <f>"9783110550832"</f>
        <v>9783110550832</v>
      </c>
      <c r="E1058" t="s">
        <v>73</v>
      </c>
      <c r="F1058" s="1">
        <v>42968</v>
      </c>
    </row>
    <row r="1059" spans="1:6" x14ac:dyDescent="0.25">
      <c r="A1059">
        <v>5494956</v>
      </c>
      <c r="B1059" t="s">
        <v>1082</v>
      </c>
      <c r="C1059" t="str">
        <f>"9783110452457"</f>
        <v>9783110452457</v>
      </c>
      <c r="D1059" t="str">
        <f>"9783110452464"</f>
        <v>9783110452464</v>
      </c>
      <c r="E1059" t="s">
        <v>73</v>
      </c>
      <c r="F1059" s="1">
        <v>42247</v>
      </c>
    </row>
    <row r="1060" spans="1:6" x14ac:dyDescent="0.25">
      <c r="A1060">
        <v>5494957</v>
      </c>
      <c r="B1060" t="s">
        <v>1083</v>
      </c>
      <c r="C1060" t="str">
        <f>"9783110550436"</f>
        <v>9783110550436</v>
      </c>
      <c r="D1060" t="str">
        <f>"9783110550443"</f>
        <v>9783110550443</v>
      </c>
      <c r="E1060" t="s">
        <v>73</v>
      </c>
      <c r="F1060" s="1">
        <v>42940</v>
      </c>
    </row>
    <row r="1061" spans="1:6" x14ac:dyDescent="0.25">
      <c r="A1061">
        <v>5494961</v>
      </c>
      <c r="B1061" t="s">
        <v>1084</v>
      </c>
      <c r="C1061" t="str">
        <f>"9783110550856"</f>
        <v>9783110550856</v>
      </c>
      <c r="D1061" t="str">
        <f>"9783110550887"</f>
        <v>9783110550887</v>
      </c>
      <c r="E1061" t="s">
        <v>73</v>
      </c>
      <c r="F1061" s="1">
        <v>42863</v>
      </c>
    </row>
    <row r="1062" spans="1:6" x14ac:dyDescent="0.25">
      <c r="A1062">
        <v>5494963</v>
      </c>
      <c r="B1062" t="s">
        <v>1085</v>
      </c>
      <c r="C1062" t="str">
        <f>"9783110524734"</f>
        <v>9783110524734</v>
      </c>
      <c r="D1062" t="str">
        <f>"9783110527094"</f>
        <v>9783110527094</v>
      </c>
      <c r="E1062" t="s">
        <v>73</v>
      </c>
      <c r="F1062" s="1">
        <v>43262</v>
      </c>
    </row>
    <row r="1063" spans="1:6" x14ac:dyDescent="0.25">
      <c r="A1063">
        <v>5494967</v>
      </c>
      <c r="B1063" t="s">
        <v>1086</v>
      </c>
      <c r="C1063" t="str">
        <f>"9783110556483"</f>
        <v>9783110556483</v>
      </c>
      <c r="D1063" t="str">
        <f>"9783110556643"</f>
        <v>9783110556643</v>
      </c>
      <c r="E1063" t="s">
        <v>73</v>
      </c>
      <c r="F1063" s="1">
        <v>42989</v>
      </c>
    </row>
    <row r="1064" spans="1:6" x14ac:dyDescent="0.25">
      <c r="A1064">
        <v>5494971</v>
      </c>
      <c r="B1064" t="s">
        <v>1087</v>
      </c>
      <c r="C1064" t="str">
        <f>"9783110569285"</f>
        <v>9783110569285</v>
      </c>
      <c r="D1064" t="str">
        <f>"9783110569315"</f>
        <v>9783110569315</v>
      </c>
      <c r="E1064" t="s">
        <v>73</v>
      </c>
      <c r="F1064" s="1">
        <v>43031</v>
      </c>
    </row>
    <row r="1065" spans="1:6" x14ac:dyDescent="0.25">
      <c r="A1065">
        <v>5494975</v>
      </c>
      <c r="B1065" t="s">
        <v>1088</v>
      </c>
      <c r="C1065" t="str">
        <f>"9783110548365"</f>
        <v>9783110548365</v>
      </c>
      <c r="D1065" t="str">
        <f>"9783110548372"</f>
        <v>9783110548372</v>
      </c>
      <c r="E1065" t="s">
        <v>73</v>
      </c>
      <c r="F1065" s="1">
        <v>42926</v>
      </c>
    </row>
    <row r="1066" spans="1:6" x14ac:dyDescent="0.25">
      <c r="A1066">
        <v>5494977</v>
      </c>
      <c r="B1066" t="s">
        <v>1089</v>
      </c>
      <c r="C1066" t="str">
        <f>"9783110518238"</f>
        <v>9783110518238</v>
      </c>
      <c r="D1066" t="str">
        <f>"9783110518269"</f>
        <v>9783110518269</v>
      </c>
      <c r="E1066" t="s">
        <v>73</v>
      </c>
      <c r="F1066" s="1">
        <v>43214</v>
      </c>
    </row>
    <row r="1067" spans="1:6" x14ac:dyDescent="0.25">
      <c r="A1067">
        <v>5494979</v>
      </c>
      <c r="B1067" t="s">
        <v>1090</v>
      </c>
      <c r="C1067" t="str">
        <f>"9783110539578"</f>
        <v>9783110539578</v>
      </c>
      <c r="D1067" t="str">
        <f>"9783110539592"</f>
        <v>9783110539592</v>
      </c>
      <c r="E1067" t="s">
        <v>73</v>
      </c>
      <c r="F1067" s="1">
        <v>42800</v>
      </c>
    </row>
    <row r="1068" spans="1:6" x14ac:dyDescent="0.25">
      <c r="A1068">
        <v>5494980</v>
      </c>
      <c r="B1068" t="s">
        <v>1091</v>
      </c>
      <c r="C1068" t="str">
        <f>"9783110559033"</f>
        <v>9783110559033</v>
      </c>
      <c r="D1068" t="str">
        <f>"9783110559040"</f>
        <v>9783110559040</v>
      </c>
      <c r="E1068" t="s">
        <v>73</v>
      </c>
      <c r="F1068" s="1">
        <v>42912</v>
      </c>
    </row>
    <row r="1069" spans="1:6" x14ac:dyDescent="0.25">
      <c r="A1069">
        <v>5494981</v>
      </c>
      <c r="B1069" t="s">
        <v>1092</v>
      </c>
      <c r="C1069" t="str">
        <f>"9783110571554"</f>
        <v>9783110571554</v>
      </c>
      <c r="D1069" t="str">
        <f>"9783110571561"</f>
        <v>9783110571561</v>
      </c>
      <c r="E1069" t="s">
        <v>73</v>
      </c>
      <c r="F1069" s="1">
        <v>43189</v>
      </c>
    </row>
    <row r="1070" spans="1:6" x14ac:dyDescent="0.25">
      <c r="A1070">
        <v>5494982</v>
      </c>
      <c r="B1070" t="s">
        <v>1093</v>
      </c>
      <c r="C1070" t="str">
        <f>"9783110472165"</f>
        <v>9783110472165</v>
      </c>
      <c r="D1070" t="str">
        <f>"9783110472172"</f>
        <v>9783110472172</v>
      </c>
      <c r="E1070" t="s">
        <v>73</v>
      </c>
      <c r="F1070" s="1">
        <v>42422</v>
      </c>
    </row>
    <row r="1071" spans="1:6" x14ac:dyDescent="0.25">
      <c r="A1071">
        <v>5495468</v>
      </c>
      <c r="B1071" t="s">
        <v>1094</v>
      </c>
      <c r="C1071" t="str">
        <f>"9781783744794"</f>
        <v>9781783744794</v>
      </c>
      <c r="D1071" t="str">
        <f>"9781783744800"</f>
        <v>9781783744800</v>
      </c>
      <c r="E1071" t="s">
        <v>580</v>
      </c>
      <c r="F1071" s="1">
        <v>43250</v>
      </c>
    </row>
    <row r="1072" spans="1:6" x14ac:dyDescent="0.25">
      <c r="A1072">
        <v>5495469</v>
      </c>
      <c r="B1072" t="s">
        <v>1095</v>
      </c>
      <c r="C1072" t="str">
        <f>"9781783743940"</f>
        <v>9781783743940</v>
      </c>
      <c r="D1072" t="str">
        <f>"9781783743957"</f>
        <v>9781783743957</v>
      </c>
      <c r="E1072" t="s">
        <v>580</v>
      </c>
      <c r="F1072" s="1">
        <v>43244</v>
      </c>
    </row>
    <row r="1073" spans="1:6" x14ac:dyDescent="0.25">
      <c r="A1073">
        <v>5495470</v>
      </c>
      <c r="B1073" t="s">
        <v>1096</v>
      </c>
      <c r="C1073" t="str">
        <f>"9781783744343"</f>
        <v>9781783744343</v>
      </c>
      <c r="D1073" t="str">
        <f>"9781783744350"</f>
        <v>9781783744350</v>
      </c>
      <c r="E1073" t="s">
        <v>580</v>
      </c>
      <c r="F1073" s="1">
        <v>43262</v>
      </c>
    </row>
    <row r="1074" spans="1:6" x14ac:dyDescent="0.25">
      <c r="A1074">
        <v>5495471</v>
      </c>
      <c r="B1074" t="s">
        <v>1097</v>
      </c>
      <c r="C1074" t="str">
        <f>"9781783744299"</f>
        <v>9781783744299</v>
      </c>
      <c r="D1074" t="str">
        <f>"9781783744305"</f>
        <v>9781783744305</v>
      </c>
      <c r="E1074" t="s">
        <v>580</v>
      </c>
      <c r="F1074" s="1">
        <v>43236</v>
      </c>
    </row>
    <row r="1075" spans="1:6" x14ac:dyDescent="0.25">
      <c r="A1075">
        <v>5495472</v>
      </c>
      <c r="B1075" t="s">
        <v>1098</v>
      </c>
      <c r="C1075" t="str">
        <f>"9781783745074"</f>
        <v>9781783745074</v>
      </c>
      <c r="D1075" t="str">
        <f>"9781783745081"</f>
        <v>9781783745081</v>
      </c>
      <c r="E1075" t="s">
        <v>580</v>
      </c>
      <c r="F1075" s="1">
        <v>43306</v>
      </c>
    </row>
    <row r="1076" spans="1:6" x14ac:dyDescent="0.25">
      <c r="A1076">
        <v>5495473</v>
      </c>
      <c r="B1076" t="s">
        <v>1099</v>
      </c>
      <c r="C1076" t="str">
        <f>"9781783744473"</f>
        <v>9781783744473</v>
      </c>
      <c r="D1076" t="str">
        <f>"9781783744480"</f>
        <v>9781783744480</v>
      </c>
      <c r="E1076" t="s">
        <v>580</v>
      </c>
      <c r="F1076" s="1">
        <v>43255</v>
      </c>
    </row>
    <row r="1077" spans="1:6" x14ac:dyDescent="0.25">
      <c r="A1077">
        <v>5495474</v>
      </c>
      <c r="B1077" t="s">
        <v>1100</v>
      </c>
      <c r="C1077" t="str">
        <f>"9781783744428"</f>
        <v>9781783744428</v>
      </c>
      <c r="D1077" t="str">
        <f>"9781783744435"</f>
        <v>9781783744435</v>
      </c>
      <c r="E1077" t="s">
        <v>580</v>
      </c>
      <c r="F1077" s="1">
        <v>43270</v>
      </c>
    </row>
    <row r="1078" spans="1:6" x14ac:dyDescent="0.25">
      <c r="A1078">
        <v>5495918</v>
      </c>
      <c r="B1078" t="s">
        <v>1101</v>
      </c>
      <c r="C1078" t="str">
        <f>"9781478000396"</f>
        <v>9781478000396</v>
      </c>
      <c r="D1078" t="str">
        <f>"9781478002215"</f>
        <v>9781478002215</v>
      </c>
      <c r="E1078" t="s">
        <v>174</v>
      </c>
      <c r="F1078" s="1">
        <v>43357</v>
      </c>
    </row>
    <row r="1079" spans="1:6" x14ac:dyDescent="0.25">
      <c r="A1079">
        <v>5496127</v>
      </c>
      <c r="B1079" t="s">
        <v>1102</v>
      </c>
      <c r="C1079" t="str">
        <f>"9782759227563"</f>
        <v>9782759227563</v>
      </c>
      <c r="D1079" t="str">
        <f>"9782759227570"</f>
        <v>9782759227570</v>
      </c>
      <c r="E1079" t="s">
        <v>626</v>
      </c>
      <c r="F1079" s="1">
        <v>43286</v>
      </c>
    </row>
    <row r="1080" spans="1:6" x14ac:dyDescent="0.25">
      <c r="A1080">
        <v>5497069</v>
      </c>
      <c r="B1080" t="s">
        <v>1103</v>
      </c>
      <c r="C1080" t="str">
        <f>"9781618117656"</f>
        <v>9781618117656</v>
      </c>
      <c r="D1080" t="str">
        <f>"9781618115928"</f>
        <v>9781618115928</v>
      </c>
      <c r="E1080" t="s">
        <v>514</v>
      </c>
      <c r="F1080" s="1">
        <v>43305</v>
      </c>
    </row>
    <row r="1081" spans="1:6" x14ac:dyDescent="0.25">
      <c r="A1081">
        <v>5497710</v>
      </c>
      <c r="B1081" t="s">
        <v>1104</v>
      </c>
      <c r="C1081" t="str">
        <f>"9780822370444"</f>
        <v>9780822370444</v>
      </c>
      <c r="D1081" t="str">
        <f>"9780822372011"</f>
        <v>9780822372011</v>
      </c>
      <c r="E1081" t="s">
        <v>174</v>
      </c>
      <c r="F1081" s="1">
        <v>43353</v>
      </c>
    </row>
    <row r="1082" spans="1:6" x14ac:dyDescent="0.25">
      <c r="A1082">
        <v>5497937</v>
      </c>
      <c r="B1082" t="s">
        <v>1105</v>
      </c>
      <c r="C1082" t="str">
        <f>"9789462984547"</f>
        <v>9789462984547</v>
      </c>
      <c r="D1082" t="str">
        <f>"9789048535224"</f>
        <v>9789048535224</v>
      </c>
      <c r="E1082" t="s">
        <v>59</v>
      </c>
      <c r="F1082" s="1">
        <v>43213</v>
      </c>
    </row>
    <row r="1083" spans="1:6" x14ac:dyDescent="0.25">
      <c r="A1083">
        <v>5499585</v>
      </c>
      <c r="B1083" t="s">
        <v>1106</v>
      </c>
      <c r="C1083" t="str">
        <f>"9783110538717"</f>
        <v>9783110538717</v>
      </c>
      <c r="D1083" t="str">
        <f>"9783110538724"</f>
        <v>9783110538724</v>
      </c>
      <c r="E1083" t="s">
        <v>73</v>
      </c>
      <c r="F1083" s="1">
        <v>43381</v>
      </c>
    </row>
    <row r="1084" spans="1:6" x14ac:dyDescent="0.25">
      <c r="A1084">
        <v>5502819</v>
      </c>
      <c r="B1084" t="s">
        <v>1107</v>
      </c>
      <c r="C1084" t="str">
        <f>"9782759228126"</f>
        <v>9782759228126</v>
      </c>
      <c r="D1084" t="str">
        <f>"9782759228133"</f>
        <v>9782759228133</v>
      </c>
      <c r="E1084" t="s">
        <v>626</v>
      </c>
      <c r="F1084" s="1">
        <v>43279</v>
      </c>
    </row>
    <row r="1085" spans="1:6" x14ac:dyDescent="0.25">
      <c r="A1085">
        <v>5507663</v>
      </c>
      <c r="B1085" t="s">
        <v>1108</v>
      </c>
      <c r="C1085" t="str">
        <f>"9783110426946"</f>
        <v>9783110426946</v>
      </c>
      <c r="D1085" t="str">
        <f>"9783110426953"</f>
        <v>9783110426953</v>
      </c>
      <c r="E1085" t="s">
        <v>73</v>
      </c>
      <c r="F1085" s="1">
        <v>43059</v>
      </c>
    </row>
    <row r="1086" spans="1:6" x14ac:dyDescent="0.25">
      <c r="A1086">
        <v>5507664</v>
      </c>
      <c r="B1086" t="s">
        <v>1109</v>
      </c>
      <c r="C1086" t="str">
        <f>"9783110575408"</f>
        <v>9783110575408</v>
      </c>
      <c r="D1086" t="str">
        <f>"9783110575446"</f>
        <v>9783110575446</v>
      </c>
      <c r="E1086" t="s">
        <v>73</v>
      </c>
      <c r="F1086" s="1">
        <v>43423</v>
      </c>
    </row>
    <row r="1087" spans="1:6" x14ac:dyDescent="0.25">
      <c r="A1087">
        <v>5507666</v>
      </c>
      <c r="B1087" t="s">
        <v>1110</v>
      </c>
      <c r="C1087" t="str">
        <f>"9783110554847"</f>
        <v>9783110554847</v>
      </c>
      <c r="D1087" t="str">
        <f>"9783110583717"</f>
        <v>9783110583717</v>
      </c>
      <c r="E1087" t="s">
        <v>73</v>
      </c>
      <c r="F1087" s="1">
        <v>43290</v>
      </c>
    </row>
    <row r="1088" spans="1:6" x14ac:dyDescent="0.25">
      <c r="A1088">
        <v>5507667</v>
      </c>
      <c r="B1088" t="s">
        <v>1111</v>
      </c>
      <c r="C1088" t="str">
        <f>"9783110463668"</f>
        <v>9783110463668</v>
      </c>
      <c r="D1088" t="str">
        <f>"9783110464979"</f>
        <v>9783110464979</v>
      </c>
      <c r="E1088" t="s">
        <v>53</v>
      </c>
      <c r="F1088" s="1">
        <v>43381</v>
      </c>
    </row>
    <row r="1089" spans="1:6" x14ac:dyDescent="0.25">
      <c r="A1089">
        <v>5507668</v>
      </c>
      <c r="B1089" t="s">
        <v>1112</v>
      </c>
      <c r="C1089" t="str">
        <f>"9783110553260"</f>
        <v>9783110553260</v>
      </c>
      <c r="D1089" t="str">
        <f>"9783110553314"</f>
        <v>9783110553314</v>
      </c>
      <c r="E1089" t="s">
        <v>73</v>
      </c>
      <c r="F1089" s="1">
        <v>43451</v>
      </c>
    </row>
    <row r="1090" spans="1:6" x14ac:dyDescent="0.25">
      <c r="A1090">
        <v>5511083</v>
      </c>
      <c r="B1090" t="s">
        <v>1113</v>
      </c>
      <c r="C1090" t="str">
        <f>"9783110584547"</f>
        <v>9783110584547</v>
      </c>
      <c r="D1090" t="str">
        <f>"9783110587173"</f>
        <v>9783110587173</v>
      </c>
      <c r="E1090" t="s">
        <v>73</v>
      </c>
      <c r="F1090" s="1">
        <v>43242</v>
      </c>
    </row>
    <row r="1091" spans="1:6" x14ac:dyDescent="0.25">
      <c r="A1091">
        <v>5511084</v>
      </c>
      <c r="B1091" t="s">
        <v>1114</v>
      </c>
      <c r="C1091" t="str">
        <f>"9783110553277"</f>
        <v>9783110553277</v>
      </c>
      <c r="D1091" t="str">
        <f>"9783110555165"</f>
        <v>9783110555165</v>
      </c>
      <c r="E1091" t="s">
        <v>73</v>
      </c>
      <c r="F1091" s="1">
        <v>43395</v>
      </c>
    </row>
    <row r="1092" spans="1:6" x14ac:dyDescent="0.25">
      <c r="A1092">
        <v>5511085</v>
      </c>
      <c r="B1092" t="s">
        <v>1115</v>
      </c>
      <c r="C1092" t="str">
        <f>"9783110557565"</f>
        <v>9783110557565</v>
      </c>
      <c r="D1092" t="str">
        <f>"9783110557657"</f>
        <v>9783110557657</v>
      </c>
      <c r="E1092" t="s">
        <v>73</v>
      </c>
      <c r="F1092" s="1">
        <v>43353</v>
      </c>
    </row>
    <row r="1093" spans="1:6" x14ac:dyDescent="0.25">
      <c r="A1093">
        <v>5511086</v>
      </c>
      <c r="B1093" t="s">
        <v>1116</v>
      </c>
      <c r="C1093" t="str">
        <f>"9783110536386"</f>
        <v>9783110536386</v>
      </c>
      <c r="D1093" t="str">
        <f>"9783110536638"</f>
        <v>9783110536638</v>
      </c>
      <c r="E1093" t="s">
        <v>73</v>
      </c>
      <c r="F1093" s="1">
        <v>43199</v>
      </c>
    </row>
    <row r="1094" spans="1:6" x14ac:dyDescent="0.25">
      <c r="A1094">
        <v>5511087</v>
      </c>
      <c r="B1094" t="s">
        <v>1117</v>
      </c>
      <c r="C1094" t="str">
        <f>"9783110495003"</f>
        <v>9783110495003</v>
      </c>
      <c r="D1094" t="str">
        <f>"9783110495416"</f>
        <v>9783110495416</v>
      </c>
      <c r="E1094" t="s">
        <v>73</v>
      </c>
      <c r="F1094" s="1">
        <v>43213</v>
      </c>
    </row>
    <row r="1095" spans="1:6" x14ac:dyDescent="0.25">
      <c r="A1095">
        <v>5511088</v>
      </c>
      <c r="B1095" t="s">
        <v>1118</v>
      </c>
      <c r="C1095" t="str">
        <f>"9783110562538"</f>
        <v>9783110562538</v>
      </c>
      <c r="D1095" t="str">
        <f>"9783110562545"</f>
        <v>9783110562545</v>
      </c>
      <c r="E1095" t="s">
        <v>73</v>
      </c>
      <c r="F1095" s="1">
        <v>43087</v>
      </c>
    </row>
    <row r="1096" spans="1:6" x14ac:dyDescent="0.25">
      <c r="A1096">
        <v>5511089</v>
      </c>
      <c r="B1096" t="s">
        <v>1119</v>
      </c>
      <c r="C1096" t="str">
        <f>"9781501514548"</f>
        <v>9781501514548</v>
      </c>
      <c r="D1096" t="str">
        <f>"9781501505393"</f>
        <v>9781501505393</v>
      </c>
      <c r="E1096" t="s">
        <v>53</v>
      </c>
      <c r="F1096" s="1">
        <v>43290</v>
      </c>
    </row>
    <row r="1097" spans="1:6" x14ac:dyDescent="0.25">
      <c r="A1097">
        <v>5511090</v>
      </c>
      <c r="B1097" t="s">
        <v>1120</v>
      </c>
      <c r="C1097" t="str">
        <f>"9783110591965"</f>
        <v>9783110591965</v>
      </c>
      <c r="D1097" t="str">
        <f>"9783110594188"</f>
        <v>9783110594188</v>
      </c>
      <c r="E1097" t="s">
        <v>73</v>
      </c>
      <c r="F1097" s="1">
        <v>43178</v>
      </c>
    </row>
    <row r="1098" spans="1:6" x14ac:dyDescent="0.25">
      <c r="A1098">
        <v>5511091</v>
      </c>
      <c r="B1098" t="s">
        <v>1121</v>
      </c>
      <c r="C1098" t="str">
        <f>"9783110567632"</f>
        <v>9783110567632</v>
      </c>
      <c r="D1098" t="str">
        <f>"9783110570557"</f>
        <v>9783110570557</v>
      </c>
      <c r="E1098" t="s">
        <v>73</v>
      </c>
      <c r="F1098" s="1">
        <v>43395</v>
      </c>
    </row>
    <row r="1099" spans="1:6" x14ac:dyDescent="0.25">
      <c r="A1099">
        <v>5511092</v>
      </c>
      <c r="B1099" t="s">
        <v>1122</v>
      </c>
      <c r="C1099" t="str">
        <f>"9783110538526"</f>
        <v>9783110538526</v>
      </c>
      <c r="D1099" t="str">
        <f>"9783110547450"</f>
        <v>9783110547450</v>
      </c>
      <c r="E1099" t="s">
        <v>73</v>
      </c>
      <c r="F1099" s="1">
        <v>43242</v>
      </c>
    </row>
    <row r="1100" spans="1:6" x14ac:dyDescent="0.25">
      <c r="A1100">
        <v>5511093</v>
      </c>
      <c r="B1100" t="s">
        <v>1123</v>
      </c>
      <c r="C1100" t="str">
        <f>"9783110501711"</f>
        <v>9783110501711</v>
      </c>
      <c r="D1100" t="str">
        <f>"9783110502060"</f>
        <v>9783110502060</v>
      </c>
      <c r="E1100" t="s">
        <v>73</v>
      </c>
      <c r="F1100" s="1">
        <v>43290</v>
      </c>
    </row>
    <row r="1101" spans="1:6" x14ac:dyDescent="0.25">
      <c r="A1101">
        <v>5511095</v>
      </c>
      <c r="B1101" t="s">
        <v>1124</v>
      </c>
      <c r="C1101" t="str">
        <f>"9783484312166"</f>
        <v>9783484312166</v>
      </c>
      <c r="D1101" t="str">
        <f>"9783110920017"</f>
        <v>9783110920017</v>
      </c>
      <c r="E1101" t="s">
        <v>53</v>
      </c>
      <c r="F1101" s="1">
        <v>36690</v>
      </c>
    </row>
    <row r="1102" spans="1:6" x14ac:dyDescent="0.25">
      <c r="A1102">
        <v>5511096</v>
      </c>
      <c r="B1102" t="s">
        <v>1125</v>
      </c>
      <c r="C1102" t="str">
        <f>"9783110548907"</f>
        <v>9783110548907</v>
      </c>
      <c r="D1102" t="str">
        <f>"9783110550672"</f>
        <v>9783110550672</v>
      </c>
      <c r="E1102" t="s">
        <v>73</v>
      </c>
      <c r="F1102" s="1">
        <v>43164</v>
      </c>
    </row>
    <row r="1103" spans="1:6" x14ac:dyDescent="0.25">
      <c r="A1103">
        <v>5513119</v>
      </c>
      <c r="B1103" t="s">
        <v>1126</v>
      </c>
      <c r="C1103" t="str">
        <f>"9789462981102"</f>
        <v>9789462981102</v>
      </c>
      <c r="D1103" t="str">
        <f>"9789048530670"</f>
        <v>9789048530670</v>
      </c>
      <c r="E1103" t="s">
        <v>59</v>
      </c>
      <c r="F1103" s="1">
        <v>42878</v>
      </c>
    </row>
    <row r="1104" spans="1:6" x14ac:dyDescent="0.25">
      <c r="A1104">
        <v>5515154</v>
      </c>
      <c r="B1104" t="s">
        <v>1127</v>
      </c>
      <c r="C1104" t="str">
        <f>"9789462984585"</f>
        <v>9789462984585</v>
      </c>
      <c r="D1104" t="str">
        <f>"9789048535262"</f>
        <v>9789048535262</v>
      </c>
      <c r="E1104" t="s">
        <v>59</v>
      </c>
      <c r="F1104" s="1">
        <v>43248</v>
      </c>
    </row>
    <row r="1105" spans="1:6" x14ac:dyDescent="0.25">
      <c r="A1105">
        <v>5515183</v>
      </c>
      <c r="B1105" t="s">
        <v>1128</v>
      </c>
      <c r="C1105" t="str">
        <f>"9781438471495"</f>
        <v>9781438471495</v>
      </c>
      <c r="D1105" t="str">
        <f>"9781438471501"</f>
        <v>9781438471501</v>
      </c>
      <c r="E1105" t="s">
        <v>684</v>
      </c>
      <c r="F1105" s="1">
        <v>43405</v>
      </c>
    </row>
    <row r="1106" spans="1:6" x14ac:dyDescent="0.25">
      <c r="A1106">
        <v>5516501</v>
      </c>
      <c r="B1106" t="s">
        <v>1129</v>
      </c>
      <c r="C1106" t="str">
        <f>"9789462985988"</f>
        <v>9789462985988</v>
      </c>
      <c r="D1106" t="str">
        <f>"9789048537228"</f>
        <v>9789048537228</v>
      </c>
      <c r="E1106" t="s">
        <v>59</v>
      </c>
      <c r="F1106" s="1">
        <v>43296</v>
      </c>
    </row>
    <row r="1107" spans="1:6" x14ac:dyDescent="0.25">
      <c r="A1107">
        <v>5517365</v>
      </c>
      <c r="B1107" t="s">
        <v>1130</v>
      </c>
      <c r="C1107" t="str">
        <f>"9783110584981"</f>
        <v>9783110584981</v>
      </c>
      <c r="D1107" t="str">
        <f>"9783110584998"</f>
        <v>9783110584998</v>
      </c>
      <c r="E1107" t="s">
        <v>73</v>
      </c>
      <c r="F1107" s="1">
        <v>43109</v>
      </c>
    </row>
    <row r="1108" spans="1:6" x14ac:dyDescent="0.25">
      <c r="A1108">
        <v>5517374</v>
      </c>
      <c r="B1108" t="s">
        <v>1131</v>
      </c>
      <c r="C1108" t="str">
        <f>"9783110535228"</f>
        <v>9783110535228</v>
      </c>
      <c r="D1108" t="str">
        <f>"9783110536409"</f>
        <v>9783110536409</v>
      </c>
      <c r="E1108" t="s">
        <v>73</v>
      </c>
      <c r="F1108" s="1">
        <v>43731</v>
      </c>
    </row>
    <row r="1109" spans="1:6" x14ac:dyDescent="0.25">
      <c r="A1109">
        <v>5517379</v>
      </c>
      <c r="B1109" t="s">
        <v>1132</v>
      </c>
      <c r="C1109" t="str">
        <f>"9783110584967"</f>
        <v>9783110584967</v>
      </c>
      <c r="D1109" t="str">
        <f>"9783110584974"</f>
        <v>9783110584974</v>
      </c>
      <c r="E1109" t="s">
        <v>73</v>
      </c>
      <c r="F1109" s="1">
        <v>43109</v>
      </c>
    </row>
    <row r="1110" spans="1:6" x14ac:dyDescent="0.25">
      <c r="A1110">
        <v>5517386</v>
      </c>
      <c r="B1110" t="s">
        <v>1133</v>
      </c>
      <c r="C1110" t="str">
        <f>"9783110576467"</f>
        <v>9783110576467</v>
      </c>
      <c r="D1110" t="str">
        <f>"9783110576498"</f>
        <v>9783110576498</v>
      </c>
      <c r="E1110" t="s">
        <v>73</v>
      </c>
      <c r="F1110" s="1">
        <v>43087</v>
      </c>
    </row>
    <row r="1111" spans="1:6" x14ac:dyDescent="0.25">
      <c r="A1111">
        <v>5520790</v>
      </c>
      <c r="B1111" t="s">
        <v>1134</v>
      </c>
      <c r="C1111" t="str">
        <f>"9781478000990"</f>
        <v>9781478000990</v>
      </c>
      <c r="D1111" t="str">
        <f>"9781478002505"</f>
        <v>9781478002505</v>
      </c>
      <c r="E1111" t="s">
        <v>174</v>
      </c>
      <c r="F1111" s="1">
        <v>43389</v>
      </c>
    </row>
    <row r="1112" spans="1:6" x14ac:dyDescent="0.25">
      <c r="A1112">
        <v>5521034</v>
      </c>
      <c r="B1112" t="s">
        <v>1135</v>
      </c>
      <c r="C1112" t="str">
        <f>"9781438471457"</f>
        <v>9781438471457</v>
      </c>
      <c r="D1112" t="str">
        <f>"9781438471471"</f>
        <v>9781438471471</v>
      </c>
      <c r="E1112" t="s">
        <v>684</v>
      </c>
      <c r="F1112" s="1">
        <v>43374</v>
      </c>
    </row>
    <row r="1113" spans="1:6" x14ac:dyDescent="0.25">
      <c r="A1113">
        <v>5521576</v>
      </c>
      <c r="B1113" t="s">
        <v>1136</v>
      </c>
      <c r="C1113" t="str">
        <f>"9789089648921"</f>
        <v>9789089648921</v>
      </c>
      <c r="D1113" t="str">
        <f>"9789048527564"</f>
        <v>9789048527564</v>
      </c>
      <c r="E1113" t="s">
        <v>59</v>
      </c>
      <c r="F1113" s="1">
        <v>43146</v>
      </c>
    </row>
    <row r="1114" spans="1:6" x14ac:dyDescent="0.25">
      <c r="A1114">
        <v>5522669</v>
      </c>
      <c r="B1114" t="s">
        <v>1137</v>
      </c>
      <c r="C1114" t="str">
        <f>"9781618117533"</f>
        <v>9781618117533</v>
      </c>
      <c r="D1114" t="str">
        <f>"9781618117540"</f>
        <v>9781618117540</v>
      </c>
      <c r="E1114" t="s">
        <v>514</v>
      </c>
      <c r="F1114" s="1">
        <v>43423</v>
      </c>
    </row>
    <row r="1115" spans="1:6" x14ac:dyDescent="0.25">
      <c r="A1115">
        <v>5525591</v>
      </c>
      <c r="B1115" t="s">
        <v>1138</v>
      </c>
      <c r="C1115" t="str">
        <f>"9783110562071"</f>
        <v>9783110562071</v>
      </c>
      <c r="D1115" t="str">
        <f>"9783110562088"</f>
        <v>9783110562088</v>
      </c>
      <c r="E1115" t="s">
        <v>73</v>
      </c>
      <c r="F1115" s="1">
        <v>43815</v>
      </c>
    </row>
    <row r="1116" spans="1:6" x14ac:dyDescent="0.25">
      <c r="A1116">
        <v>5525603</v>
      </c>
      <c r="B1116" t="s">
        <v>1139</v>
      </c>
      <c r="C1116" t="str">
        <f>"9783110486919"</f>
        <v>9783110486919</v>
      </c>
      <c r="D1116" t="str">
        <f>"9783110519662"</f>
        <v>9783110519662</v>
      </c>
      <c r="E1116" t="s">
        <v>73</v>
      </c>
      <c r="F1116" s="1">
        <v>43927</v>
      </c>
    </row>
    <row r="1117" spans="1:6" x14ac:dyDescent="0.25">
      <c r="A1117">
        <v>5525610</v>
      </c>
      <c r="B1117" t="s">
        <v>1140</v>
      </c>
      <c r="C1117" t="str">
        <f>"9783110557572"</f>
        <v>9783110557572</v>
      </c>
      <c r="D1117" t="str">
        <f>"9783110557596"</f>
        <v>9783110557596</v>
      </c>
      <c r="E1117" t="s">
        <v>73</v>
      </c>
      <c r="F1117" s="1">
        <v>43927</v>
      </c>
    </row>
    <row r="1118" spans="1:6" x14ac:dyDescent="0.25">
      <c r="A1118">
        <v>5525620</v>
      </c>
      <c r="B1118" t="s">
        <v>1141</v>
      </c>
      <c r="C1118" t="str">
        <f>"9781501513633"</f>
        <v>9781501513633</v>
      </c>
      <c r="D1118" t="str">
        <f>"9781501504914"</f>
        <v>9781501504914</v>
      </c>
      <c r="E1118" t="s">
        <v>53</v>
      </c>
      <c r="F1118" s="1">
        <v>43290</v>
      </c>
    </row>
    <row r="1119" spans="1:6" x14ac:dyDescent="0.25">
      <c r="A1119">
        <v>5525630</v>
      </c>
      <c r="B1119" t="s">
        <v>1142</v>
      </c>
      <c r="C1119" t="str">
        <f>"9783110565317"</f>
        <v>9783110565317</v>
      </c>
      <c r="D1119" t="str">
        <f>"9783110568509"</f>
        <v>9783110568509</v>
      </c>
      <c r="E1119" t="s">
        <v>73</v>
      </c>
      <c r="F1119" s="1">
        <v>43059</v>
      </c>
    </row>
    <row r="1120" spans="1:6" x14ac:dyDescent="0.25">
      <c r="A1120">
        <v>5525636</v>
      </c>
      <c r="B1120" t="s">
        <v>1143</v>
      </c>
      <c r="C1120" t="str">
        <f>"9781501515279"</f>
        <v>9781501515279</v>
      </c>
      <c r="D1120" t="str">
        <f>"9781501506550"</f>
        <v>9781501506550</v>
      </c>
      <c r="E1120" t="s">
        <v>73</v>
      </c>
      <c r="F1120" s="1">
        <v>44130</v>
      </c>
    </row>
    <row r="1121" spans="1:6" x14ac:dyDescent="0.25">
      <c r="A1121">
        <v>5525674</v>
      </c>
      <c r="B1121" t="s">
        <v>1144</v>
      </c>
      <c r="C1121" t="str">
        <f>"9783110560879"</f>
        <v>9783110560879</v>
      </c>
      <c r="D1121" t="str">
        <f>"9783110563320"</f>
        <v>9783110563320</v>
      </c>
      <c r="E1121" t="s">
        <v>53</v>
      </c>
      <c r="F1121" s="1">
        <v>43087</v>
      </c>
    </row>
    <row r="1122" spans="1:6" x14ac:dyDescent="0.25">
      <c r="A1122">
        <v>5525717</v>
      </c>
      <c r="B1122" t="s">
        <v>1145</v>
      </c>
      <c r="C1122" t="str">
        <f>"9783110549522"</f>
        <v>9783110549522</v>
      </c>
      <c r="D1122" t="str">
        <f>"9783110549577"</f>
        <v>9783110549577</v>
      </c>
      <c r="E1122" t="s">
        <v>73</v>
      </c>
      <c r="F1122" s="1">
        <v>43164</v>
      </c>
    </row>
    <row r="1123" spans="1:6" x14ac:dyDescent="0.25">
      <c r="A1123">
        <v>5525745</v>
      </c>
      <c r="B1123" t="s">
        <v>1146</v>
      </c>
      <c r="C1123" t="str">
        <f>"9783110060157"</f>
        <v>9783110060157</v>
      </c>
      <c r="D1123" t="str">
        <f>"9783110903249"</f>
        <v>9783110903249</v>
      </c>
      <c r="E1123" t="s">
        <v>53</v>
      </c>
      <c r="F1123" s="1">
        <v>25385</v>
      </c>
    </row>
    <row r="1124" spans="1:6" x14ac:dyDescent="0.25">
      <c r="A1124">
        <v>5527493</v>
      </c>
      <c r="B1124" t="s">
        <v>1147</v>
      </c>
      <c r="C1124" t="str">
        <f>"9780822370482"</f>
        <v>9780822370482</v>
      </c>
      <c r="D1124" t="str">
        <f>"9780822371991"</f>
        <v>9780822371991</v>
      </c>
      <c r="E1124" t="s">
        <v>174</v>
      </c>
      <c r="F1124" s="1">
        <v>43399</v>
      </c>
    </row>
    <row r="1125" spans="1:6" x14ac:dyDescent="0.25">
      <c r="A1125">
        <v>5527494</v>
      </c>
      <c r="B1125" t="s">
        <v>1148</v>
      </c>
      <c r="C1125" t="str">
        <f>"9781783744954"</f>
        <v>9781783744954</v>
      </c>
      <c r="D1125" t="str">
        <f>"9781783744961"</f>
        <v>9781783744961</v>
      </c>
      <c r="E1125" t="s">
        <v>580</v>
      </c>
      <c r="F1125" s="1">
        <v>43350</v>
      </c>
    </row>
    <row r="1126" spans="1:6" x14ac:dyDescent="0.25">
      <c r="A1126">
        <v>5527495</v>
      </c>
      <c r="B1126" t="s">
        <v>1149</v>
      </c>
      <c r="C1126" t="str">
        <f>"9781783745128"</f>
        <v>9781783745128</v>
      </c>
      <c r="D1126" t="str">
        <f>"9781783745135"</f>
        <v>9781783745135</v>
      </c>
      <c r="E1126" t="s">
        <v>580</v>
      </c>
      <c r="F1126" s="1">
        <v>43367</v>
      </c>
    </row>
    <row r="1127" spans="1:6" x14ac:dyDescent="0.25">
      <c r="A1127">
        <v>5527496</v>
      </c>
      <c r="B1127" t="s">
        <v>1150</v>
      </c>
      <c r="C1127" t="str">
        <f>"9781783745227"</f>
        <v>9781783745227</v>
      </c>
      <c r="D1127" t="str">
        <f>"9781783745234"</f>
        <v>9781783745234</v>
      </c>
      <c r="E1127" t="s">
        <v>580</v>
      </c>
      <c r="F1127" s="1">
        <v>43340</v>
      </c>
    </row>
    <row r="1128" spans="1:6" x14ac:dyDescent="0.25">
      <c r="A1128">
        <v>5527497</v>
      </c>
      <c r="B1128" t="s">
        <v>1151</v>
      </c>
      <c r="C1128" t="str">
        <f>"9781783745555"</f>
        <v>9781783745555</v>
      </c>
      <c r="D1128" t="str">
        <f>"9781783745562"</f>
        <v>9781783745562</v>
      </c>
      <c r="E1128" t="s">
        <v>580</v>
      </c>
      <c r="F1128" s="1">
        <v>43343</v>
      </c>
    </row>
    <row r="1129" spans="1:6" x14ac:dyDescent="0.25">
      <c r="A1129">
        <v>5527498</v>
      </c>
      <c r="B1129" t="s">
        <v>1152</v>
      </c>
      <c r="C1129" t="str">
        <f>"9781783745906"</f>
        <v>9781783745906</v>
      </c>
      <c r="D1129" t="str">
        <f>"9781783745913"</f>
        <v>9781783745913</v>
      </c>
      <c r="E1129" t="s">
        <v>580</v>
      </c>
      <c r="F1129" s="1">
        <v>43346</v>
      </c>
    </row>
    <row r="1130" spans="1:6" x14ac:dyDescent="0.25">
      <c r="A1130">
        <v>5527552</v>
      </c>
      <c r="B1130" t="s">
        <v>1153</v>
      </c>
      <c r="C1130" t="str">
        <f>"9781438471310"</f>
        <v>9781438471310</v>
      </c>
      <c r="D1130" t="str">
        <f>"9781438471327"</f>
        <v>9781438471327</v>
      </c>
      <c r="E1130" t="s">
        <v>684</v>
      </c>
      <c r="F1130" s="1">
        <v>43374</v>
      </c>
    </row>
    <row r="1131" spans="1:6" x14ac:dyDescent="0.25">
      <c r="A1131">
        <v>5530535</v>
      </c>
      <c r="B1131" t="s">
        <v>1154</v>
      </c>
      <c r="C1131" t="str">
        <f>"9781501514487"</f>
        <v>9781501514487</v>
      </c>
      <c r="D1131" t="str">
        <f>"9781501505294"</f>
        <v>9781501505294</v>
      </c>
      <c r="E1131" t="s">
        <v>53</v>
      </c>
      <c r="F1131" s="1">
        <v>43787</v>
      </c>
    </row>
    <row r="1132" spans="1:6" x14ac:dyDescent="0.25">
      <c r="A1132">
        <v>5535321</v>
      </c>
      <c r="B1132" t="s">
        <v>1155</v>
      </c>
      <c r="C1132" t="str">
        <f>"9783110529944"</f>
        <v>9783110529944</v>
      </c>
      <c r="D1132" t="str">
        <f>"9783110532241"</f>
        <v>9783110532241</v>
      </c>
      <c r="E1132" t="s">
        <v>73</v>
      </c>
      <c r="F1132" s="1">
        <v>43031</v>
      </c>
    </row>
    <row r="1133" spans="1:6" x14ac:dyDescent="0.25">
      <c r="A1133">
        <v>5535408</v>
      </c>
      <c r="B1133" t="s">
        <v>1156</v>
      </c>
      <c r="C1133" t="str">
        <f>"9783110476538"</f>
        <v>9783110476538</v>
      </c>
      <c r="D1133" t="str">
        <f>"9783110478068"</f>
        <v>9783110478068</v>
      </c>
      <c r="E1133" t="s">
        <v>73</v>
      </c>
      <c r="F1133" s="1">
        <v>43304</v>
      </c>
    </row>
    <row r="1134" spans="1:6" x14ac:dyDescent="0.25">
      <c r="A1134">
        <v>5557554</v>
      </c>
      <c r="B1134" t="s">
        <v>1157</v>
      </c>
      <c r="C1134" t="str">
        <f>"9783110570366"</f>
        <v>9783110570366</v>
      </c>
      <c r="D1134" t="str">
        <f>"9783110574289"</f>
        <v>9783110574289</v>
      </c>
      <c r="E1134" t="s">
        <v>73</v>
      </c>
      <c r="F1134" s="1">
        <v>43087</v>
      </c>
    </row>
    <row r="1135" spans="1:6" x14ac:dyDescent="0.25">
      <c r="A1135">
        <v>5557660</v>
      </c>
      <c r="B1135" t="s">
        <v>1158</v>
      </c>
      <c r="C1135" t="str">
        <f>"9783110471830"</f>
        <v>9783110471830</v>
      </c>
      <c r="D1135" t="str">
        <f>"9783110534849"</f>
        <v>9783110534849</v>
      </c>
      <c r="E1135" t="s">
        <v>73</v>
      </c>
      <c r="F1135" s="1">
        <v>43073</v>
      </c>
    </row>
    <row r="1136" spans="1:6" x14ac:dyDescent="0.25">
      <c r="A1136">
        <v>5560069</v>
      </c>
      <c r="B1136" t="s">
        <v>1159</v>
      </c>
      <c r="C1136" t="str">
        <f>"9781478000617"</f>
        <v>9781478000617</v>
      </c>
      <c r="D1136" t="str">
        <f>"9781478002284"</f>
        <v>9781478002284</v>
      </c>
      <c r="E1136" t="s">
        <v>174</v>
      </c>
      <c r="F1136" s="1">
        <v>43434</v>
      </c>
    </row>
    <row r="1137" spans="1:6" x14ac:dyDescent="0.25">
      <c r="A1137">
        <v>5561647</v>
      </c>
      <c r="B1137" t="s">
        <v>1160</v>
      </c>
      <c r="C1137" t="str">
        <f>"9783486567205"</f>
        <v>9783486567205</v>
      </c>
      <c r="D1137" t="str">
        <f>"9783486833980"</f>
        <v>9783486833980</v>
      </c>
      <c r="E1137" t="s">
        <v>73</v>
      </c>
      <c r="F1137" s="1">
        <v>37832</v>
      </c>
    </row>
    <row r="1138" spans="1:6" x14ac:dyDescent="0.25">
      <c r="A1138">
        <v>5567195</v>
      </c>
      <c r="B1138" t="s">
        <v>1161</v>
      </c>
      <c r="C1138" t="str">
        <f>"9782759228706"</f>
        <v>9782759228706</v>
      </c>
      <c r="D1138" t="str">
        <f>"9782759228713"</f>
        <v>9782759228713</v>
      </c>
      <c r="E1138" t="s">
        <v>626</v>
      </c>
      <c r="F1138" s="1">
        <v>43391</v>
      </c>
    </row>
    <row r="1139" spans="1:6" x14ac:dyDescent="0.25">
      <c r="A1139">
        <v>5567197</v>
      </c>
      <c r="B1139" t="s">
        <v>1162</v>
      </c>
      <c r="C1139" t="str">
        <f>"9782759228799"</f>
        <v>9782759228799</v>
      </c>
      <c r="D1139" t="str">
        <f>"9782759228805"</f>
        <v>9782759228805</v>
      </c>
      <c r="E1139" t="s">
        <v>626</v>
      </c>
      <c r="F1139" s="1">
        <v>43357</v>
      </c>
    </row>
    <row r="1140" spans="1:6" x14ac:dyDescent="0.25">
      <c r="A1140">
        <v>5568579</v>
      </c>
      <c r="B1140" t="s">
        <v>1163</v>
      </c>
      <c r="C1140" t="str">
        <f>"9781478001690"</f>
        <v>9781478001690</v>
      </c>
      <c r="D1140" t="str">
        <f>"9781478004301"</f>
        <v>9781478004301</v>
      </c>
      <c r="E1140" t="s">
        <v>174</v>
      </c>
      <c r="F1140" s="1">
        <v>43434</v>
      </c>
    </row>
    <row r="1141" spans="1:6" x14ac:dyDescent="0.25">
      <c r="A1141">
        <v>5571085</v>
      </c>
      <c r="B1141" t="s">
        <v>1164</v>
      </c>
      <c r="C1141" t="str">
        <f>"9781438471815"</f>
        <v>9781438471815</v>
      </c>
      <c r="D1141" t="str">
        <f>"9781438471822"</f>
        <v>9781438471822</v>
      </c>
      <c r="E1141" t="s">
        <v>684</v>
      </c>
      <c r="F1141" s="1">
        <v>43405</v>
      </c>
    </row>
    <row r="1142" spans="1:6" x14ac:dyDescent="0.25">
      <c r="A1142">
        <v>5583988</v>
      </c>
      <c r="B1142" t="s">
        <v>1165</v>
      </c>
      <c r="C1142" t="str">
        <f>""</f>
        <v/>
      </c>
      <c r="D1142" t="str">
        <f>"9789048543526"</f>
        <v>9789048543526</v>
      </c>
      <c r="E1142" t="s">
        <v>59</v>
      </c>
      <c r="F1142" s="1">
        <v>43419</v>
      </c>
    </row>
    <row r="1143" spans="1:6" x14ac:dyDescent="0.25">
      <c r="A1143">
        <v>5588963</v>
      </c>
      <c r="B1143" t="s">
        <v>1166</v>
      </c>
      <c r="C1143" t="str">
        <f>"9783319696225"</f>
        <v>9783319696225</v>
      </c>
      <c r="D1143" t="str">
        <f>"9783319696232"</f>
        <v>9783319696232</v>
      </c>
      <c r="E1143" t="s">
        <v>756</v>
      </c>
      <c r="F1143" s="1">
        <v>43117</v>
      </c>
    </row>
    <row r="1144" spans="1:6" x14ac:dyDescent="0.25">
      <c r="A1144">
        <v>5589492</v>
      </c>
      <c r="B1144" t="s">
        <v>1167</v>
      </c>
      <c r="C1144" t="str">
        <f>"9781478001348"</f>
        <v>9781478001348</v>
      </c>
      <c r="D1144" t="str">
        <f>"9781478002789"</f>
        <v>9781478002789</v>
      </c>
      <c r="E1144" t="s">
        <v>174</v>
      </c>
      <c r="F1144" s="1">
        <v>43448</v>
      </c>
    </row>
    <row r="1145" spans="1:6" x14ac:dyDescent="0.25">
      <c r="A1145">
        <v>5592237</v>
      </c>
      <c r="B1145" t="s">
        <v>1168</v>
      </c>
      <c r="C1145" t="str">
        <f>"9783319721699"</f>
        <v>9783319721699</v>
      </c>
      <c r="D1145" t="str">
        <f>"9783319721705"</f>
        <v>9783319721705</v>
      </c>
      <c r="E1145" t="s">
        <v>756</v>
      </c>
      <c r="F1145" s="1">
        <v>43137</v>
      </c>
    </row>
    <row r="1146" spans="1:6" x14ac:dyDescent="0.25">
      <c r="A1146">
        <v>5607105</v>
      </c>
      <c r="B1146" t="s">
        <v>1169</v>
      </c>
      <c r="C1146" t="str">
        <f>"9781783745357"</f>
        <v>9781783745357</v>
      </c>
      <c r="D1146" t="str">
        <f>"9781783745364"</f>
        <v>9781783745364</v>
      </c>
      <c r="E1146" t="s">
        <v>580</v>
      </c>
      <c r="F1146" s="1">
        <v>43404</v>
      </c>
    </row>
    <row r="1147" spans="1:6" x14ac:dyDescent="0.25">
      <c r="A1147">
        <v>5607106</v>
      </c>
      <c r="B1147" t="s">
        <v>1170</v>
      </c>
      <c r="C1147" t="str">
        <f>"9781783745814"</f>
        <v>9781783745814</v>
      </c>
      <c r="D1147" t="str">
        <f>"9781783745821"</f>
        <v>9781783745821</v>
      </c>
      <c r="E1147" t="s">
        <v>580</v>
      </c>
      <c r="F1147" s="1">
        <v>43388</v>
      </c>
    </row>
    <row r="1148" spans="1:6" x14ac:dyDescent="0.25">
      <c r="A1148">
        <v>5607107</v>
      </c>
      <c r="B1148" t="s">
        <v>1171</v>
      </c>
      <c r="C1148" t="str">
        <f>"9781783745012"</f>
        <v>9781783745012</v>
      </c>
      <c r="D1148" t="str">
        <f>"9781783745029"</f>
        <v>9781783745029</v>
      </c>
      <c r="E1148" t="s">
        <v>580</v>
      </c>
      <c r="F1148" s="1">
        <v>43427</v>
      </c>
    </row>
    <row r="1149" spans="1:6" x14ac:dyDescent="0.25">
      <c r="A1149">
        <v>5607110</v>
      </c>
      <c r="B1149" t="s">
        <v>1172</v>
      </c>
      <c r="C1149" t="str">
        <f>"9781783745302"</f>
        <v>9781783745302</v>
      </c>
      <c r="D1149" t="str">
        <f>"9781783745319"</f>
        <v>9781783745319</v>
      </c>
      <c r="E1149" t="s">
        <v>580</v>
      </c>
      <c r="F1149" s="1">
        <v>43375</v>
      </c>
    </row>
    <row r="1150" spans="1:6" x14ac:dyDescent="0.25">
      <c r="A1150">
        <v>5609564</v>
      </c>
      <c r="B1150" t="s">
        <v>1173</v>
      </c>
      <c r="C1150" t="str">
        <f>"9780822368564"</f>
        <v>9780822368564</v>
      </c>
      <c r="D1150" t="str">
        <f>"9780822372646"</f>
        <v>9780822372646</v>
      </c>
      <c r="E1150" t="s">
        <v>174</v>
      </c>
      <c r="F1150" s="1">
        <v>43476</v>
      </c>
    </row>
    <row r="1151" spans="1:6" x14ac:dyDescent="0.25">
      <c r="A1151">
        <v>5611018</v>
      </c>
      <c r="B1151" t="s">
        <v>1174</v>
      </c>
      <c r="C1151" t="str">
        <f>"9789462987401"</f>
        <v>9789462987401</v>
      </c>
      <c r="D1151" t="str">
        <f>"9789048539055"</f>
        <v>9789048539055</v>
      </c>
      <c r="E1151" t="s">
        <v>59</v>
      </c>
      <c r="F1151" s="1">
        <v>43017</v>
      </c>
    </row>
    <row r="1152" spans="1:6" x14ac:dyDescent="0.25">
      <c r="A1152">
        <v>5622392</v>
      </c>
      <c r="B1152" t="s">
        <v>1175</v>
      </c>
      <c r="C1152" t="str">
        <f>"9789027201898"</f>
        <v>9789027201898</v>
      </c>
      <c r="D1152" t="str">
        <f>"9789027263186"</f>
        <v>9789027263186</v>
      </c>
      <c r="E1152" t="s">
        <v>413</v>
      </c>
      <c r="F1152" s="1">
        <v>43426</v>
      </c>
    </row>
    <row r="1153" spans="1:6" x14ac:dyDescent="0.25">
      <c r="A1153">
        <v>5625026</v>
      </c>
      <c r="B1153" t="s">
        <v>1176</v>
      </c>
      <c r="C1153" t="str">
        <f>"9789811307423"</f>
        <v>9789811307423</v>
      </c>
      <c r="D1153" t="str">
        <f>"9789811307430"</f>
        <v>9789811307430</v>
      </c>
      <c r="E1153" t="s">
        <v>1177</v>
      </c>
      <c r="F1153" s="1">
        <v>43479</v>
      </c>
    </row>
    <row r="1154" spans="1:6" x14ac:dyDescent="0.25">
      <c r="A1154">
        <v>5625506</v>
      </c>
      <c r="B1154" t="s">
        <v>1178</v>
      </c>
      <c r="C1154" t="str">
        <f>"9789462983298"</f>
        <v>9789462983298</v>
      </c>
      <c r="D1154" t="str">
        <f>"9789048533381"</f>
        <v>9789048533381</v>
      </c>
      <c r="E1154" t="s">
        <v>59</v>
      </c>
      <c r="F1154" s="1">
        <v>43444</v>
      </c>
    </row>
    <row r="1155" spans="1:6" x14ac:dyDescent="0.25">
      <c r="A1155">
        <v>5629085</v>
      </c>
      <c r="B1155" t="s">
        <v>1179</v>
      </c>
      <c r="C1155" t="str">
        <f>"9782759229161"</f>
        <v>9782759229161</v>
      </c>
      <c r="D1155" t="str">
        <f>"9782759229178"</f>
        <v>9782759229178</v>
      </c>
      <c r="E1155" t="s">
        <v>626</v>
      </c>
      <c r="F1155" s="1">
        <v>43430</v>
      </c>
    </row>
    <row r="1156" spans="1:6" x14ac:dyDescent="0.25">
      <c r="A1156">
        <v>5629091</v>
      </c>
      <c r="B1156" t="s">
        <v>1180</v>
      </c>
      <c r="C1156" t="str">
        <f>"9782759228225"</f>
        <v>9782759228225</v>
      </c>
      <c r="D1156" t="str">
        <f>"9782759228232"</f>
        <v>9782759228232</v>
      </c>
      <c r="E1156" t="s">
        <v>626</v>
      </c>
      <c r="F1156" s="1">
        <v>43282</v>
      </c>
    </row>
    <row r="1157" spans="1:6" x14ac:dyDescent="0.25">
      <c r="A1157">
        <v>5630422</v>
      </c>
      <c r="B1157" t="s">
        <v>1181</v>
      </c>
      <c r="C1157" t="str">
        <f>"9781478001201"</f>
        <v>9781478001201</v>
      </c>
      <c r="D1157" t="str">
        <f>"9781478002635"</f>
        <v>9781478002635</v>
      </c>
      <c r="E1157" t="s">
        <v>174</v>
      </c>
      <c r="F1157" s="1">
        <v>43441</v>
      </c>
    </row>
    <row r="1158" spans="1:6" x14ac:dyDescent="0.25">
      <c r="A1158">
        <v>5651726</v>
      </c>
      <c r="B1158" t="s">
        <v>1182</v>
      </c>
      <c r="C1158" t="str">
        <f>"9781783745609"</f>
        <v>9781783745609</v>
      </c>
      <c r="D1158" t="str">
        <f>"9781783745616"</f>
        <v>9781783745616</v>
      </c>
      <c r="E1158" t="s">
        <v>580</v>
      </c>
      <c r="F1158" s="1">
        <v>43447</v>
      </c>
    </row>
    <row r="1159" spans="1:6" x14ac:dyDescent="0.25">
      <c r="A1159">
        <v>5651727</v>
      </c>
      <c r="B1159" t="s">
        <v>1183</v>
      </c>
      <c r="C1159" t="str">
        <f>"9781783746019"</f>
        <v>9781783746019</v>
      </c>
      <c r="D1159" t="str">
        <f>"9781783746026"</f>
        <v>9781783746026</v>
      </c>
      <c r="E1159" t="s">
        <v>580</v>
      </c>
      <c r="F1159" s="1">
        <v>43427</v>
      </c>
    </row>
    <row r="1160" spans="1:6" x14ac:dyDescent="0.25">
      <c r="A1160">
        <v>5651728</v>
      </c>
      <c r="B1160" t="s">
        <v>1184</v>
      </c>
      <c r="C1160" t="str">
        <f>"9781783745401"</f>
        <v>9781783745401</v>
      </c>
      <c r="D1160" t="str">
        <f>"9781783745418"</f>
        <v>9781783745418</v>
      </c>
      <c r="E1160" t="s">
        <v>580</v>
      </c>
      <c r="F1160" s="1">
        <v>43446</v>
      </c>
    </row>
    <row r="1161" spans="1:6" x14ac:dyDescent="0.25">
      <c r="A1161">
        <v>5718284</v>
      </c>
      <c r="B1161" t="s">
        <v>1185</v>
      </c>
      <c r="C1161" t="str">
        <f>"9781942401346"</f>
        <v>9781942401346</v>
      </c>
      <c r="D1161" t="str">
        <f>"9781942401353"</f>
        <v>9781942401353</v>
      </c>
      <c r="E1161" t="s">
        <v>1186</v>
      </c>
      <c r="F1161" s="1">
        <v>43108</v>
      </c>
    </row>
    <row r="1162" spans="1:6" x14ac:dyDescent="0.25">
      <c r="A1162">
        <v>5719045</v>
      </c>
      <c r="B1162" t="s">
        <v>1187</v>
      </c>
      <c r="C1162" t="str">
        <f>"9789462984905"</f>
        <v>9789462984905</v>
      </c>
      <c r="D1162" t="str">
        <f>"9789048535811"</f>
        <v>9789048535811</v>
      </c>
      <c r="E1162" t="s">
        <v>59</v>
      </c>
      <c r="F1162" s="1">
        <v>42704</v>
      </c>
    </row>
    <row r="1163" spans="1:6" x14ac:dyDescent="0.25">
      <c r="A1163">
        <v>5719048</v>
      </c>
      <c r="B1163" t="s">
        <v>1188</v>
      </c>
      <c r="C1163" t="str">
        <f>"9789462985490"</f>
        <v>9789462985490</v>
      </c>
      <c r="D1163" t="str">
        <f>"9789048536641"</f>
        <v>9789048536641</v>
      </c>
      <c r="E1163" t="s">
        <v>59</v>
      </c>
      <c r="F1163" s="1">
        <v>43319</v>
      </c>
    </row>
    <row r="1164" spans="1:6" x14ac:dyDescent="0.25">
      <c r="A1164">
        <v>5719052</v>
      </c>
      <c r="B1164" t="s">
        <v>1189</v>
      </c>
      <c r="C1164" t="str">
        <f>"9789462983830"</f>
        <v>9789462983830</v>
      </c>
      <c r="D1164" t="str">
        <f>"9789048540006"</f>
        <v>9789048540006</v>
      </c>
      <c r="E1164" t="s">
        <v>59</v>
      </c>
      <c r="F1164" s="1">
        <v>43235</v>
      </c>
    </row>
    <row r="1165" spans="1:6" x14ac:dyDescent="0.25">
      <c r="A1165">
        <v>5725327</v>
      </c>
      <c r="B1165" t="s">
        <v>1190</v>
      </c>
      <c r="C1165" t="str">
        <f>"9781783746569"</f>
        <v>9781783746569</v>
      </c>
      <c r="D1165" t="str">
        <f>"9781783746576"</f>
        <v>9781783746576</v>
      </c>
      <c r="E1165" t="s">
        <v>580</v>
      </c>
      <c r="F1165" s="1">
        <v>43529</v>
      </c>
    </row>
    <row r="1166" spans="1:6" x14ac:dyDescent="0.25">
      <c r="A1166">
        <v>5725328</v>
      </c>
      <c r="B1166" t="s">
        <v>1191</v>
      </c>
      <c r="C1166" t="str">
        <f>"9781783745968"</f>
        <v>9781783745968</v>
      </c>
      <c r="D1166" t="str">
        <f>"9781783745975"</f>
        <v>9781783745975</v>
      </c>
      <c r="E1166" t="s">
        <v>580</v>
      </c>
      <c r="F1166" s="1">
        <v>43466</v>
      </c>
    </row>
    <row r="1167" spans="1:6" x14ac:dyDescent="0.25">
      <c r="A1167">
        <v>5725329</v>
      </c>
      <c r="B1167" t="s">
        <v>1192</v>
      </c>
      <c r="C1167" t="str">
        <f>"9781783745456"</f>
        <v>9781783745456</v>
      </c>
      <c r="D1167" t="str">
        <f>"9781783745463"</f>
        <v>9781783745463</v>
      </c>
      <c r="E1167" t="s">
        <v>580</v>
      </c>
      <c r="F1167" s="1">
        <v>43516</v>
      </c>
    </row>
    <row r="1168" spans="1:6" x14ac:dyDescent="0.25">
      <c r="A1168">
        <v>5727927</v>
      </c>
      <c r="B1168" t="s">
        <v>1193</v>
      </c>
      <c r="C1168" t="str">
        <f>""</f>
        <v/>
      </c>
      <c r="D1168" t="str">
        <f>"9789048535200"</f>
        <v>9789048535200</v>
      </c>
      <c r="E1168" t="s">
        <v>59</v>
      </c>
      <c r="F1168" s="1">
        <v>43466</v>
      </c>
    </row>
    <row r="1169" spans="1:6" x14ac:dyDescent="0.25">
      <c r="A1169">
        <v>5734171</v>
      </c>
      <c r="B1169" t="s">
        <v>1194</v>
      </c>
      <c r="C1169" t="str">
        <f>"9782759229406"</f>
        <v>9782759229406</v>
      </c>
      <c r="D1169" t="str">
        <f>"9782759229420"</f>
        <v>9782759229420</v>
      </c>
      <c r="E1169" t="s">
        <v>626</v>
      </c>
      <c r="F1169" s="1">
        <v>43437</v>
      </c>
    </row>
    <row r="1170" spans="1:6" x14ac:dyDescent="0.25">
      <c r="A1170">
        <v>5734172</v>
      </c>
      <c r="B1170" t="s">
        <v>1195</v>
      </c>
      <c r="C1170" t="str">
        <f>"9782759229192"</f>
        <v>9782759229192</v>
      </c>
      <c r="D1170" t="str">
        <f>"9782759229208"</f>
        <v>9782759229208</v>
      </c>
      <c r="E1170" t="s">
        <v>626</v>
      </c>
      <c r="F1170" s="1">
        <v>43468</v>
      </c>
    </row>
    <row r="1171" spans="1:6" x14ac:dyDescent="0.25">
      <c r="A1171">
        <v>5734174</v>
      </c>
      <c r="B1171" t="s">
        <v>1196</v>
      </c>
      <c r="C1171" t="str">
        <f>"9782759229376"</f>
        <v>9782759229376</v>
      </c>
      <c r="D1171" t="str">
        <f>"9782759229390"</f>
        <v>9782759229390</v>
      </c>
      <c r="E1171" t="s">
        <v>626</v>
      </c>
      <c r="F1171" s="1">
        <v>43647</v>
      </c>
    </row>
    <row r="1172" spans="1:6" x14ac:dyDescent="0.25">
      <c r="A1172">
        <v>5742613</v>
      </c>
      <c r="B1172" t="s">
        <v>1197</v>
      </c>
      <c r="C1172" t="str">
        <f>"9781478003229"</f>
        <v>9781478003229</v>
      </c>
      <c r="D1172" t="str">
        <f>"9781478004486"</f>
        <v>9781478004486</v>
      </c>
      <c r="E1172" t="s">
        <v>174</v>
      </c>
      <c r="F1172" s="1">
        <v>43581</v>
      </c>
    </row>
    <row r="1173" spans="1:6" x14ac:dyDescent="0.25">
      <c r="A1173">
        <v>5743235</v>
      </c>
      <c r="B1173" t="s">
        <v>1198</v>
      </c>
      <c r="C1173" t="str">
        <f>"9781618119513"</f>
        <v>9781618119513</v>
      </c>
      <c r="D1173" t="str">
        <f>"9781618119520"</f>
        <v>9781618119520</v>
      </c>
      <c r="E1173" t="s">
        <v>514</v>
      </c>
      <c r="F1173" s="1">
        <v>43553</v>
      </c>
    </row>
    <row r="1174" spans="1:6" x14ac:dyDescent="0.25">
      <c r="A1174">
        <v>5750539</v>
      </c>
      <c r="B1174" t="s">
        <v>1199</v>
      </c>
      <c r="C1174" t="str">
        <f>"9783486704457"</f>
        <v>9783486704457</v>
      </c>
      <c r="D1174" t="str">
        <f>"9783110446647"</f>
        <v>9783110446647</v>
      </c>
      <c r="E1174" t="s">
        <v>73</v>
      </c>
      <c r="F1174" s="1">
        <v>40835</v>
      </c>
    </row>
    <row r="1175" spans="1:6" x14ac:dyDescent="0.25">
      <c r="A1175">
        <v>5751614</v>
      </c>
      <c r="B1175" t="s">
        <v>1200</v>
      </c>
      <c r="C1175" t="str">
        <f>"9781783745500"</f>
        <v>9781783745500</v>
      </c>
      <c r="D1175" t="str">
        <f>"9781783745517"</f>
        <v>9781783745517</v>
      </c>
      <c r="E1175" t="s">
        <v>580</v>
      </c>
      <c r="F1175" s="1">
        <v>43557</v>
      </c>
    </row>
    <row r="1176" spans="1:6" x14ac:dyDescent="0.25">
      <c r="A1176">
        <v>5751615</v>
      </c>
      <c r="B1176" t="s">
        <v>1201</v>
      </c>
      <c r="C1176" t="str">
        <f>"9781783745661"</f>
        <v>9781783745661</v>
      </c>
      <c r="D1176" t="str">
        <f>"9781783745678"</f>
        <v>9781783745678</v>
      </c>
      <c r="E1176" t="s">
        <v>580</v>
      </c>
      <c r="F1176" s="1">
        <v>43532</v>
      </c>
    </row>
    <row r="1177" spans="1:6" x14ac:dyDescent="0.25">
      <c r="A1177">
        <v>5751616</v>
      </c>
      <c r="B1177" t="s">
        <v>1202</v>
      </c>
      <c r="C1177" t="str">
        <f>"9781783746491"</f>
        <v>9781783746491</v>
      </c>
      <c r="D1177" t="str">
        <f>"9781783746507"</f>
        <v>9781783746507</v>
      </c>
      <c r="E1177" t="s">
        <v>580</v>
      </c>
      <c r="F1177" s="1">
        <v>43528</v>
      </c>
    </row>
    <row r="1178" spans="1:6" x14ac:dyDescent="0.25">
      <c r="A1178">
        <v>5752204</v>
      </c>
      <c r="B1178" t="s">
        <v>1203</v>
      </c>
      <c r="C1178" t="str">
        <f>"9781942401599"</f>
        <v>9781942401599</v>
      </c>
      <c r="D1178" t="str">
        <f>"9781942401605"</f>
        <v>9781942401605</v>
      </c>
      <c r="E1178" t="s">
        <v>1186</v>
      </c>
      <c r="F1178" s="1">
        <v>43307</v>
      </c>
    </row>
    <row r="1179" spans="1:6" x14ac:dyDescent="0.25">
      <c r="A1179">
        <v>5752224</v>
      </c>
      <c r="B1179" t="s">
        <v>1204</v>
      </c>
      <c r="C1179" t="str">
        <f>"9781478001881"</f>
        <v>9781478001881</v>
      </c>
      <c r="D1179" t="str">
        <f>"9781478003359"</f>
        <v>9781478003359</v>
      </c>
      <c r="E1179" t="s">
        <v>174</v>
      </c>
      <c r="F1179" s="1">
        <v>43644</v>
      </c>
    </row>
    <row r="1180" spans="1:6" x14ac:dyDescent="0.25">
      <c r="A1180">
        <v>5760554</v>
      </c>
      <c r="B1180" t="s">
        <v>1205</v>
      </c>
      <c r="C1180" t="str">
        <f>"9782759229918"</f>
        <v>9782759229918</v>
      </c>
      <c r="D1180" t="str">
        <f>"9782759229925"</f>
        <v>9782759229925</v>
      </c>
      <c r="E1180" t="s">
        <v>626</v>
      </c>
      <c r="F1180" s="1">
        <v>43647</v>
      </c>
    </row>
    <row r="1181" spans="1:6" x14ac:dyDescent="0.25">
      <c r="A1181">
        <v>5769487</v>
      </c>
      <c r="B1181" t="s">
        <v>1206</v>
      </c>
      <c r="C1181" t="str">
        <f>"9783110576016"</f>
        <v>9783110576016</v>
      </c>
      <c r="D1181" t="str">
        <f>"9783110576092"</f>
        <v>9783110576092</v>
      </c>
      <c r="E1181" t="s">
        <v>73</v>
      </c>
      <c r="F1181" s="1">
        <v>43300</v>
      </c>
    </row>
    <row r="1182" spans="1:6" x14ac:dyDescent="0.25">
      <c r="A1182">
        <v>5771514</v>
      </c>
      <c r="B1182" t="s">
        <v>1207</v>
      </c>
      <c r="C1182" t="str">
        <f>"9781783746620"</f>
        <v>9781783746620</v>
      </c>
      <c r="D1182" t="str">
        <f>"9781783746637"</f>
        <v>9781783746637</v>
      </c>
      <c r="E1182" t="s">
        <v>580</v>
      </c>
      <c r="F1182" s="1">
        <v>43573</v>
      </c>
    </row>
    <row r="1183" spans="1:6" x14ac:dyDescent="0.25">
      <c r="A1183">
        <v>5771515</v>
      </c>
      <c r="B1183" t="s">
        <v>1208</v>
      </c>
      <c r="C1183" t="str">
        <f>"9781783747276"</f>
        <v>9781783747276</v>
      </c>
      <c r="D1183" t="str">
        <f>"9781783747283"</f>
        <v>9781783747283</v>
      </c>
      <c r="E1183" t="s">
        <v>580</v>
      </c>
      <c r="F1183" s="1">
        <v>43585</v>
      </c>
    </row>
    <row r="1184" spans="1:6" x14ac:dyDescent="0.25">
      <c r="A1184">
        <v>5771690</v>
      </c>
      <c r="B1184" t="s">
        <v>1209</v>
      </c>
      <c r="C1184" t="str">
        <f>"9781478003137"</f>
        <v>9781478003137</v>
      </c>
      <c r="D1184" t="str">
        <f>"9781478004394"</f>
        <v>9781478004394</v>
      </c>
      <c r="E1184" t="s">
        <v>174</v>
      </c>
      <c r="F1184" s="1">
        <v>43658</v>
      </c>
    </row>
    <row r="1185" spans="1:6" x14ac:dyDescent="0.25">
      <c r="A1185">
        <v>5771691</v>
      </c>
      <c r="B1185" t="s">
        <v>1210</v>
      </c>
      <c r="C1185" t="str">
        <f>"9781478004103"</f>
        <v>9781478004103</v>
      </c>
      <c r="D1185" t="str">
        <f>"9781478005582"</f>
        <v>9781478005582</v>
      </c>
      <c r="E1185" t="s">
        <v>174</v>
      </c>
      <c r="F1185" s="1">
        <v>43644</v>
      </c>
    </row>
    <row r="1186" spans="1:6" x14ac:dyDescent="0.25">
      <c r="A1186">
        <v>5772835</v>
      </c>
      <c r="B1186" t="s">
        <v>1211</v>
      </c>
      <c r="C1186" t="str">
        <f>"9783110549508"</f>
        <v>9783110549508</v>
      </c>
      <c r="D1186" t="str">
        <f>"9783110549683"</f>
        <v>9783110549683</v>
      </c>
      <c r="E1186" t="s">
        <v>73</v>
      </c>
      <c r="F1186" s="1">
        <v>43591</v>
      </c>
    </row>
    <row r="1187" spans="1:6" x14ac:dyDescent="0.25">
      <c r="A1187">
        <v>5779776</v>
      </c>
      <c r="B1187" t="s">
        <v>1212</v>
      </c>
      <c r="C1187" t="str">
        <f>"9781478003595"</f>
        <v>9781478003595</v>
      </c>
      <c r="D1187" t="str">
        <f>"9781478004516"</f>
        <v>9781478004516</v>
      </c>
      <c r="E1187" t="s">
        <v>174</v>
      </c>
      <c r="F1187" s="1">
        <v>43637</v>
      </c>
    </row>
    <row r="1188" spans="1:6" x14ac:dyDescent="0.25">
      <c r="A1188">
        <v>5779777</v>
      </c>
      <c r="B1188" t="s">
        <v>1213</v>
      </c>
      <c r="C1188" t="str">
        <f>"9781478003199"</f>
        <v>9781478003199</v>
      </c>
      <c r="D1188" t="str">
        <f>"9781478004400"</f>
        <v>9781478004400</v>
      </c>
      <c r="E1188" t="s">
        <v>174</v>
      </c>
      <c r="F1188" s="1">
        <v>43658</v>
      </c>
    </row>
    <row r="1189" spans="1:6" x14ac:dyDescent="0.25">
      <c r="A1189">
        <v>5779779</v>
      </c>
      <c r="B1189" t="s">
        <v>1214</v>
      </c>
      <c r="C1189" t="str">
        <f>"9781478001911"</f>
        <v>9781478001911</v>
      </c>
      <c r="D1189" t="str">
        <f>"9781478003427"</f>
        <v>9781478003427</v>
      </c>
      <c r="E1189" t="s">
        <v>174</v>
      </c>
      <c r="F1189" s="1">
        <v>43644</v>
      </c>
    </row>
    <row r="1190" spans="1:6" x14ac:dyDescent="0.25">
      <c r="A1190">
        <v>5781361</v>
      </c>
      <c r="B1190" t="s">
        <v>1215</v>
      </c>
      <c r="C1190" t="str">
        <f>"9781783747399"</f>
        <v>9781783747399</v>
      </c>
      <c r="D1190" t="str">
        <f>"9781783747405"</f>
        <v>9781783747405</v>
      </c>
      <c r="E1190" t="s">
        <v>580</v>
      </c>
      <c r="F1190" s="1">
        <v>43606</v>
      </c>
    </row>
    <row r="1191" spans="1:6" x14ac:dyDescent="0.25">
      <c r="A1191">
        <v>5788944</v>
      </c>
      <c r="B1191" t="s">
        <v>1216</v>
      </c>
      <c r="C1191" t="str">
        <f>"9783030053178"</f>
        <v>9783030053178</v>
      </c>
      <c r="D1191" t="str">
        <f>"9783030053185"</f>
        <v>9783030053185</v>
      </c>
      <c r="E1191" t="s">
        <v>756</v>
      </c>
      <c r="F1191" s="1">
        <v>43613</v>
      </c>
    </row>
    <row r="1192" spans="1:6" x14ac:dyDescent="0.25">
      <c r="A1192">
        <v>5796132</v>
      </c>
      <c r="B1192" t="s">
        <v>1217</v>
      </c>
      <c r="C1192" t="str">
        <f>"9782759229970"</f>
        <v>9782759229970</v>
      </c>
      <c r="D1192" t="str">
        <f>"9782759229987"</f>
        <v>9782759229987</v>
      </c>
      <c r="E1192" t="s">
        <v>626</v>
      </c>
      <c r="F1192" s="1">
        <v>43636</v>
      </c>
    </row>
    <row r="1193" spans="1:6" x14ac:dyDescent="0.25">
      <c r="A1193">
        <v>5796134</v>
      </c>
      <c r="B1193" t="s">
        <v>1218</v>
      </c>
      <c r="C1193" t="str">
        <f>"9782759230563"</f>
        <v>9782759230563</v>
      </c>
      <c r="D1193" t="str">
        <f>"9782759230570"</f>
        <v>9782759230570</v>
      </c>
      <c r="E1193" t="s">
        <v>626</v>
      </c>
      <c r="F1193" s="1">
        <v>43641</v>
      </c>
    </row>
    <row r="1194" spans="1:6" x14ac:dyDescent="0.25">
      <c r="A1194">
        <v>5797730</v>
      </c>
      <c r="B1194" t="s">
        <v>1219</v>
      </c>
      <c r="C1194" t="str">
        <f>"9781783747450"</f>
        <v>9781783747450</v>
      </c>
      <c r="D1194" t="str">
        <f>"9781783747467"</f>
        <v>9781783747467</v>
      </c>
      <c r="E1194" t="s">
        <v>580</v>
      </c>
      <c r="F1194" s="1">
        <v>43633</v>
      </c>
    </row>
    <row r="1195" spans="1:6" x14ac:dyDescent="0.25">
      <c r="A1195">
        <v>5797745</v>
      </c>
      <c r="B1195" t="s">
        <v>1220</v>
      </c>
      <c r="C1195" t="str">
        <f>"9781783746699"</f>
        <v>9781783746699</v>
      </c>
      <c r="D1195" t="str">
        <f>"9781783746705"</f>
        <v>9781783746705</v>
      </c>
      <c r="E1195" t="s">
        <v>580</v>
      </c>
      <c r="F1195" s="1">
        <v>43646</v>
      </c>
    </row>
    <row r="1196" spans="1:6" x14ac:dyDescent="0.25">
      <c r="A1196">
        <v>5811413</v>
      </c>
      <c r="B1196" t="s">
        <v>1221</v>
      </c>
      <c r="C1196" t="str">
        <f>"9781783747009"</f>
        <v>9781783747009</v>
      </c>
      <c r="D1196" t="str">
        <f>"9781783747016"</f>
        <v>9781783747016</v>
      </c>
      <c r="E1196" t="s">
        <v>580</v>
      </c>
      <c r="F1196" s="1">
        <v>43627</v>
      </c>
    </row>
    <row r="1197" spans="1:6" x14ac:dyDescent="0.25">
      <c r="A1197">
        <v>5834351</v>
      </c>
      <c r="B1197" t="s">
        <v>1222</v>
      </c>
      <c r="C1197" t="str">
        <f>"9781438475431"</f>
        <v>9781438475431</v>
      </c>
      <c r="D1197" t="str">
        <f>"9781438475448"</f>
        <v>9781438475448</v>
      </c>
      <c r="E1197" t="s">
        <v>684</v>
      </c>
      <c r="F1197" s="1">
        <v>43678</v>
      </c>
    </row>
    <row r="1198" spans="1:6" x14ac:dyDescent="0.25">
      <c r="A1198">
        <v>5838458</v>
      </c>
      <c r="B1198" t="s">
        <v>1223</v>
      </c>
      <c r="C1198" t="str">
        <f>"9781783745173"</f>
        <v>9781783745173</v>
      </c>
      <c r="D1198" t="str">
        <f>"9781783745180"</f>
        <v>9781783745180</v>
      </c>
      <c r="E1198" t="s">
        <v>580</v>
      </c>
      <c r="F1198" s="1">
        <v>43641</v>
      </c>
    </row>
    <row r="1199" spans="1:6" x14ac:dyDescent="0.25">
      <c r="A1199">
        <v>5838459</v>
      </c>
      <c r="B1199" t="s">
        <v>1224</v>
      </c>
      <c r="C1199" t="str">
        <f>"9781783747115"</f>
        <v>9781783747115</v>
      </c>
      <c r="D1199" t="str">
        <f>"9781783747122"</f>
        <v>9781783747122</v>
      </c>
      <c r="E1199" t="s">
        <v>580</v>
      </c>
      <c r="F1199" s="1">
        <v>43647</v>
      </c>
    </row>
    <row r="1200" spans="1:6" x14ac:dyDescent="0.25">
      <c r="A1200">
        <v>5841200</v>
      </c>
      <c r="B1200" t="s">
        <v>1225</v>
      </c>
      <c r="C1200" t="str">
        <f>"9781942401001"</f>
        <v>9781942401001</v>
      </c>
      <c r="D1200" t="str">
        <f>"9781942401018"</f>
        <v>9781942401018</v>
      </c>
      <c r="E1200" t="s">
        <v>1186</v>
      </c>
      <c r="F1200" s="1">
        <v>42125</v>
      </c>
    </row>
    <row r="1201" spans="1:6" x14ac:dyDescent="0.25">
      <c r="A1201">
        <v>5846456</v>
      </c>
      <c r="B1201" t="s">
        <v>1226</v>
      </c>
      <c r="C1201" t="str">
        <f>"9781783740239"</f>
        <v>9781783740239</v>
      </c>
      <c r="D1201" t="str">
        <f>"9781783740246"</f>
        <v>9781783740246</v>
      </c>
      <c r="E1201" t="s">
        <v>580</v>
      </c>
      <c r="F1201" s="1">
        <v>43654</v>
      </c>
    </row>
    <row r="1202" spans="1:6" x14ac:dyDescent="0.25">
      <c r="A1202">
        <v>5853838</v>
      </c>
      <c r="B1202" t="s">
        <v>1227</v>
      </c>
      <c r="C1202" t="str">
        <f>"9781478005018"</f>
        <v>9781478005018</v>
      </c>
      <c r="D1202" t="str">
        <f>"9781478005346"</f>
        <v>9781478005346</v>
      </c>
      <c r="E1202" t="s">
        <v>174</v>
      </c>
      <c r="F1202" s="1">
        <v>43721</v>
      </c>
    </row>
    <row r="1203" spans="1:6" x14ac:dyDescent="0.25">
      <c r="A1203">
        <v>5853842</v>
      </c>
      <c r="B1203" t="s">
        <v>1228</v>
      </c>
      <c r="C1203" t="str">
        <f>"9781478005049"</f>
        <v>9781478005049</v>
      </c>
      <c r="D1203" t="str">
        <f>"9781478005674"</f>
        <v>9781478005674</v>
      </c>
      <c r="E1203" t="s">
        <v>174</v>
      </c>
      <c r="F1203" s="1">
        <v>43714</v>
      </c>
    </row>
    <row r="1204" spans="1:6" x14ac:dyDescent="0.25">
      <c r="A1204">
        <v>5853843</v>
      </c>
      <c r="B1204" t="s">
        <v>1229</v>
      </c>
      <c r="C1204" t="str">
        <f>"9781478004264"</f>
        <v>9781478004264</v>
      </c>
      <c r="D1204" t="str">
        <f>"9781478005292"</f>
        <v>9781478005292</v>
      </c>
      <c r="E1204" t="s">
        <v>174</v>
      </c>
      <c r="F1204" s="1">
        <v>43721</v>
      </c>
    </row>
    <row r="1205" spans="1:6" x14ac:dyDescent="0.25">
      <c r="A1205">
        <v>5855006</v>
      </c>
      <c r="B1205" t="s">
        <v>1230</v>
      </c>
      <c r="C1205" t="str">
        <f>"9783110567304"</f>
        <v>9783110567304</v>
      </c>
      <c r="D1205" t="str">
        <f>"9783110567311"</f>
        <v>9783110567311</v>
      </c>
      <c r="E1205" t="s">
        <v>73</v>
      </c>
      <c r="F1205" s="1">
        <v>43333</v>
      </c>
    </row>
    <row r="1206" spans="1:6" x14ac:dyDescent="0.25">
      <c r="A1206">
        <v>5855100</v>
      </c>
      <c r="B1206" t="s">
        <v>1231</v>
      </c>
      <c r="C1206" t="str">
        <f>"9783110567328"</f>
        <v>9783110567328</v>
      </c>
      <c r="D1206" t="str">
        <f>"9783110567496"</f>
        <v>9783110567496</v>
      </c>
      <c r="E1206" t="s">
        <v>73</v>
      </c>
      <c r="F1206" s="1">
        <v>43230</v>
      </c>
    </row>
    <row r="1207" spans="1:6" x14ac:dyDescent="0.25">
      <c r="A1207">
        <v>5855105</v>
      </c>
      <c r="B1207" t="s">
        <v>1232</v>
      </c>
      <c r="C1207" t="str">
        <f>"9783110571202"</f>
        <v>9783110571202</v>
      </c>
      <c r="D1207" t="str">
        <f>"9783110571219"</f>
        <v>9783110571219</v>
      </c>
      <c r="E1207" t="s">
        <v>73</v>
      </c>
      <c r="F1207" s="1">
        <v>43406</v>
      </c>
    </row>
    <row r="1208" spans="1:6" x14ac:dyDescent="0.25">
      <c r="A1208">
        <v>5855371</v>
      </c>
      <c r="B1208" t="s">
        <v>1233</v>
      </c>
      <c r="C1208" t="str">
        <f>"9783110571233"</f>
        <v>9783110571233</v>
      </c>
      <c r="D1208" t="str">
        <f>"9783110571240"</f>
        <v>9783110571240</v>
      </c>
      <c r="E1208" t="s">
        <v>73</v>
      </c>
      <c r="F1208" s="1">
        <v>43100</v>
      </c>
    </row>
    <row r="1209" spans="1:6" x14ac:dyDescent="0.25">
      <c r="A1209">
        <v>5879741</v>
      </c>
      <c r="B1209" t="s">
        <v>1234</v>
      </c>
      <c r="C1209" t="str">
        <f>"9781783747054"</f>
        <v>9781783747054</v>
      </c>
      <c r="D1209" t="str">
        <f>"9781783747061"</f>
        <v>9781783747061</v>
      </c>
      <c r="E1209" t="s">
        <v>580</v>
      </c>
      <c r="F1209" s="1">
        <v>43682</v>
      </c>
    </row>
    <row r="1210" spans="1:6" x14ac:dyDescent="0.25">
      <c r="A1210">
        <v>5894383</v>
      </c>
      <c r="B1210" t="s">
        <v>1235</v>
      </c>
      <c r="C1210" t="str">
        <f>"9789462983663"</f>
        <v>9789462983663</v>
      </c>
      <c r="D1210" t="str">
        <f>"9789048534012"</f>
        <v>9789048534012</v>
      </c>
      <c r="E1210" t="s">
        <v>59</v>
      </c>
      <c r="F1210" s="1">
        <v>43739</v>
      </c>
    </row>
    <row r="1211" spans="1:6" x14ac:dyDescent="0.25">
      <c r="A1211">
        <v>5896598</v>
      </c>
      <c r="B1211" t="s">
        <v>1236</v>
      </c>
      <c r="C1211" t="str">
        <f>"9781783747511"</f>
        <v>9781783747511</v>
      </c>
      <c r="D1211" t="str">
        <f>"9781783747528"</f>
        <v>9781783747528</v>
      </c>
      <c r="E1211" t="s">
        <v>580</v>
      </c>
      <c r="F1211" s="1">
        <v>43704</v>
      </c>
    </row>
    <row r="1212" spans="1:6" x14ac:dyDescent="0.25">
      <c r="A1212">
        <v>5896809</v>
      </c>
      <c r="B1212" t="s">
        <v>1237</v>
      </c>
      <c r="C1212" t="str">
        <f>"9781438475639"</f>
        <v>9781438475639</v>
      </c>
      <c r="D1212" t="str">
        <f>"9781438475653"</f>
        <v>9781438475653</v>
      </c>
      <c r="E1212" t="s">
        <v>684</v>
      </c>
      <c r="F1212" s="1">
        <v>43709</v>
      </c>
    </row>
    <row r="1213" spans="1:6" x14ac:dyDescent="0.25">
      <c r="A1213">
        <v>5899201</v>
      </c>
      <c r="B1213" t="s">
        <v>1238</v>
      </c>
      <c r="C1213" t="str">
        <f>"9781644691281"</f>
        <v>9781644691281</v>
      </c>
      <c r="D1213" t="str">
        <f>"9781644691304"</f>
        <v>9781644691304</v>
      </c>
      <c r="E1213" t="s">
        <v>514</v>
      </c>
      <c r="F1213" s="1">
        <v>43725</v>
      </c>
    </row>
    <row r="1214" spans="1:6" x14ac:dyDescent="0.25">
      <c r="A1214">
        <v>5909950</v>
      </c>
      <c r="B1214" t="s">
        <v>1239</v>
      </c>
      <c r="C1214" t="str">
        <f>"9781783747573"</f>
        <v>9781783747573</v>
      </c>
      <c r="D1214" t="str">
        <f>"9781783747580"</f>
        <v>9781783747580</v>
      </c>
      <c r="E1214" t="s">
        <v>580</v>
      </c>
      <c r="F1214" s="1">
        <v>43707</v>
      </c>
    </row>
    <row r="1215" spans="1:6" x14ac:dyDescent="0.25">
      <c r="A1215">
        <v>5921930</v>
      </c>
      <c r="B1215" t="s">
        <v>1240</v>
      </c>
      <c r="C1215" t="str">
        <f>"9783030184797"</f>
        <v>9783030184797</v>
      </c>
      <c r="D1215" t="str">
        <f>"9783030184803"</f>
        <v>9783030184803</v>
      </c>
      <c r="E1215" t="s">
        <v>756</v>
      </c>
      <c r="F1215" s="1">
        <v>43662</v>
      </c>
    </row>
    <row r="1216" spans="1:6" x14ac:dyDescent="0.25">
      <c r="A1216">
        <v>5922126</v>
      </c>
      <c r="B1216" t="s">
        <v>1241</v>
      </c>
      <c r="C1216" t="str">
        <f>"9789811311895"</f>
        <v>9789811311895</v>
      </c>
      <c r="D1216" t="str">
        <f>"9789811311901"</f>
        <v>9789811311901</v>
      </c>
      <c r="E1216" t="s">
        <v>1177</v>
      </c>
      <c r="F1216" s="1">
        <v>43501</v>
      </c>
    </row>
    <row r="1217" spans="1:6" x14ac:dyDescent="0.25">
      <c r="A1217">
        <v>5928235</v>
      </c>
      <c r="B1217" t="s">
        <v>1242</v>
      </c>
      <c r="C1217" t="str">
        <f>""</f>
        <v/>
      </c>
      <c r="D1217" t="str">
        <f>"9789048550463"</f>
        <v>9789048550463</v>
      </c>
      <c r="E1217" t="s">
        <v>59</v>
      </c>
      <c r="F1217" s="1">
        <v>43755</v>
      </c>
    </row>
    <row r="1218" spans="1:6" x14ac:dyDescent="0.25">
      <c r="A1218">
        <v>5945037</v>
      </c>
      <c r="B1218" t="s">
        <v>1243</v>
      </c>
      <c r="C1218" t="str">
        <f>"9781783747986"</f>
        <v>9781783747986</v>
      </c>
      <c r="D1218" t="str">
        <f>"9781783747993"</f>
        <v>9781783747993</v>
      </c>
      <c r="E1218" t="s">
        <v>580</v>
      </c>
      <c r="F1218" s="1">
        <v>43739</v>
      </c>
    </row>
    <row r="1219" spans="1:6" x14ac:dyDescent="0.25">
      <c r="A1219">
        <v>5945038</v>
      </c>
      <c r="B1219" t="s">
        <v>1244</v>
      </c>
      <c r="C1219" t="str">
        <f>"9781783747801"</f>
        <v>9781783747801</v>
      </c>
      <c r="D1219" t="str">
        <f>"9781783747818"</f>
        <v>9781783747818</v>
      </c>
      <c r="E1219" t="s">
        <v>580</v>
      </c>
      <c r="F1219" s="1">
        <v>43740</v>
      </c>
    </row>
    <row r="1220" spans="1:6" x14ac:dyDescent="0.25">
      <c r="A1220">
        <v>5965282</v>
      </c>
      <c r="B1220" t="s">
        <v>1245</v>
      </c>
      <c r="C1220" t="str">
        <f>""</f>
        <v/>
      </c>
      <c r="D1220" t="str">
        <f>"9789048537877"</f>
        <v>9789048537877</v>
      </c>
      <c r="E1220" t="s">
        <v>59</v>
      </c>
      <c r="F1220" s="1">
        <v>43766</v>
      </c>
    </row>
    <row r="1221" spans="1:6" x14ac:dyDescent="0.25">
      <c r="A1221">
        <v>5968193</v>
      </c>
      <c r="B1221" t="s">
        <v>798</v>
      </c>
      <c r="C1221" t="str">
        <f>"9781783747764"</f>
        <v>9781783747764</v>
      </c>
      <c r="D1221" t="str">
        <f>"9781783747771"</f>
        <v>9781783747771</v>
      </c>
      <c r="E1221" t="s">
        <v>580</v>
      </c>
      <c r="F1221" s="1">
        <v>43754</v>
      </c>
    </row>
    <row r="1222" spans="1:6" x14ac:dyDescent="0.25">
      <c r="A1222">
        <v>5969374</v>
      </c>
      <c r="B1222" t="s">
        <v>1246</v>
      </c>
      <c r="C1222" t="str">
        <f>"9783030216283"</f>
        <v>9783030216283</v>
      </c>
      <c r="D1222" t="str">
        <f>"9783030216290"</f>
        <v>9783030216290</v>
      </c>
      <c r="E1222" t="s">
        <v>756</v>
      </c>
      <c r="F1222" s="1">
        <v>43791</v>
      </c>
    </row>
    <row r="1223" spans="1:6" x14ac:dyDescent="0.25">
      <c r="A1223">
        <v>5969500</v>
      </c>
      <c r="B1223" t="s">
        <v>1247</v>
      </c>
      <c r="C1223" t="str">
        <f>"9781478001867"</f>
        <v>9781478001867</v>
      </c>
      <c r="D1223" t="str">
        <f>"9781478003380"</f>
        <v>9781478003380</v>
      </c>
      <c r="E1223" t="s">
        <v>174</v>
      </c>
      <c r="F1223" s="1">
        <v>43760</v>
      </c>
    </row>
    <row r="1224" spans="1:6" x14ac:dyDescent="0.25">
      <c r="A1224">
        <v>5973781</v>
      </c>
      <c r="B1224" t="s">
        <v>1248</v>
      </c>
      <c r="C1224" t="str">
        <f>"9781478004141"</f>
        <v>9781478004141</v>
      </c>
      <c r="D1224" t="str">
        <f>"9781478005605"</f>
        <v>9781478005605</v>
      </c>
      <c r="E1224" t="s">
        <v>174</v>
      </c>
      <c r="F1224" s="1">
        <v>43784</v>
      </c>
    </row>
    <row r="1225" spans="1:6" x14ac:dyDescent="0.25">
      <c r="A1225">
        <v>5974959</v>
      </c>
      <c r="B1225" t="s">
        <v>1249</v>
      </c>
      <c r="C1225" t="str">
        <f>"9789811384363"</f>
        <v>9789811384363</v>
      </c>
      <c r="D1225" t="str">
        <f>"9789811384370"</f>
        <v>9789811384370</v>
      </c>
      <c r="E1225" t="s">
        <v>1177</v>
      </c>
      <c r="F1225" s="1">
        <v>43788</v>
      </c>
    </row>
    <row r="1226" spans="1:6" x14ac:dyDescent="0.25">
      <c r="A1226">
        <v>5977952</v>
      </c>
      <c r="B1226" t="s">
        <v>1250</v>
      </c>
      <c r="C1226" t="str">
        <f>"9781478005445"</f>
        <v>9781478005445</v>
      </c>
      <c r="D1226" t="str">
        <f>"9781478007111"</f>
        <v>9781478007111</v>
      </c>
      <c r="E1226" t="s">
        <v>174</v>
      </c>
      <c r="F1226" s="1">
        <v>43784</v>
      </c>
    </row>
    <row r="1227" spans="1:6" x14ac:dyDescent="0.25">
      <c r="A1227">
        <v>5983013</v>
      </c>
      <c r="B1227" t="s">
        <v>1251</v>
      </c>
      <c r="C1227" t="str">
        <f>"9781478006084"</f>
        <v>9781478006084</v>
      </c>
      <c r="D1227" t="str">
        <f>"9781478007500"</f>
        <v>9781478007500</v>
      </c>
      <c r="E1227" t="s">
        <v>174</v>
      </c>
      <c r="F1227" s="1">
        <v>43819</v>
      </c>
    </row>
    <row r="1228" spans="1:6" x14ac:dyDescent="0.25">
      <c r="A1228">
        <v>5983014</v>
      </c>
      <c r="B1228" t="s">
        <v>1252</v>
      </c>
      <c r="C1228" t="str">
        <f>"9781478003656"</f>
        <v>9781478003656</v>
      </c>
      <c r="D1228" t="str">
        <f>"9781478004578"</f>
        <v>9781478004578</v>
      </c>
      <c r="E1228" t="s">
        <v>174</v>
      </c>
      <c r="F1228" s="1">
        <v>43826</v>
      </c>
    </row>
    <row r="1229" spans="1:6" x14ac:dyDescent="0.25">
      <c r="A1229">
        <v>5988633</v>
      </c>
      <c r="B1229" t="s">
        <v>1253</v>
      </c>
      <c r="C1229" t="str">
        <f>"9781478005940"</f>
        <v>9781478005940</v>
      </c>
      <c r="D1229" t="str">
        <f>"9781478007296"</f>
        <v>9781478007296</v>
      </c>
      <c r="E1229" t="s">
        <v>174</v>
      </c>
      <c r="F1229" s="1">
        <v>43840</v>
      </c>
    </row>
    <row r="1230" spans="1:6" x14ac:dyDescent="0.25">
      <c r="A1230">
        <v>5989093</v>
      </c>
      <c r="B1230" t="s">
        <v>1254</v>
      </c>
      <c r="C1230" t="str">
        <f>"9781478005032"</f>
        <v>9781478005032</v>
      </c>
      <c r="D1230" t="str">
        <f>"9781478005667"</f>
        <v>9781478005667</v>
      </c>
      <c r="E1230" t="s">
        <v>174</v>
      </c>
      <c r="F1230" s="1">
        <v>43791</v>
      </c>
    </row>
    <row r="1231" spans="1:6" x14ac:dyDescent="0.25">
      <c r="A1231">
        <v>5992908</v>
      </c>
      <c r="B1231" t="s">
        <v>1255</v>
      </c>
      <c r="C1231" t="str">
        <f>""</f>
        <v/>
      </c>
      <c r="D1231" t="str">
        <f>"9789048537426"</f>
        <v>9789048537426</v>
      </c>
      <c r="E1231" t="s">
        <v>59</v>
      </c>
      <c r="F1231" s="1">
        <v>43766</v>
      </c>
    </row>
    <row r="1232" spans="1:6" x14ac:dyDescent="0.25">
      <c r="A1232">
        <v>5994469</v>
      </c>
      <c r="B1232" t="s">
        <v>1256</v>
      </c>
      <c r="C1232" t="str">
        <f>"9781783748105"</f>
        <v>9781783748105</v>
      </c>
      <c r="D1232" t="str">
        <f>"9781783748112"</f>
        <v>9781783748112</v>
      </c>
      <c r="E1232" t="s">
        <v>580</v>
      </c>
      <c r="F1232" s="1">
        <v>43797</v>
      </c>
    </row>
    <row r="1233" spans="1:6" x14ac:dyDescent="0.25">
      <c r="A1233">
        <v>5994470</v>
      </c>
      <c r="B1233" t="s">
        <v>1257</v>
      </c>
      <c r="C1233" t="str">
        <f>"9781783748648"</f>
        <v>9781783748648</v>
      </c>
      <c r="D1233" t="str">
        <f>"9781783748655"</f>
        <v>9781783748655</v>
      </c>
      <c r="E1233" t="s">
        <v>580</v>
      </c>
      <c r="F1233" s="1">
        <v>43801</v>
      </c>
    </row>
    <row r="1234" spans="1:6" x14ac:dyDescent="0.25">
      <c r="A1234">
        <v>5994654</v>
      </c>
      <c r="B1234" t="s">
        <v>1258</v>
      </c>
      <c r="C1234" t="str">
        <f>"9781478005759"</f>
        <v>9781478005759</v>
      </c>
      <c r="D1234" t="str">
        <f>"9781478007388"</f>
        <v>9781478007388</v>
      </c>
      <c r="E1234" t="s">
        <v>174</v>
      </c>
      <c r="F1234" s="1">
        <v>43784</v>
      </c>
    </row>
    <row r="1235" spans="1:6" x14ac:dyDescent="0.25">
      <c r="A1235">
        <v>5996261</v>
      </c>
      <c r="B1235" t="s">
        <v>1259</v>
      </c>
      <c r="C1235" t="str">
        <f>"9781478005933"</f>
        <v>9781478005933</v>
      </c>
      <c r="D1235" t="str">
        <f>"9781478007319"</f>
        <v>9781478007319</v>
      </c>
      <c r="E1235" t="s">
        <v>174</v>
      </c>
      <c r="F1235" s="1">
        <v>43777</v>
      </c>
    </row>
    <row r="1236" spans="1:6" x14ac:dyDescent="0.25">
      <c r="A1236">
        <v>6001948</v>
      </c>
      <c r="B1236" t="s">
        <v>1260</v>
      </c>
      <c r="C1236" t="str">
        <f>"9781478005490"</f>
        <v>9781478005490</v>
      </c>
      <c r="D1236" t="str">
        <f>"9781478007166"</f>
        <v>9781478007166</v>
      </c>
      <c r="E1236" t="s">
        <v>174</v>
      </c>
      <c r="F1236" s="1">
        <v>43889</v>
      </c>
    </row>
    <row r="1237" spans="1:6" x14ac:dyDescent="0.25">
      <c r="A1237">
        <v>6020769</v>
      </c>
      <c r="B1237" t="s">
        <v>1261</v>
      </c>
      <c r="C1237" t="str">
        <f>"9781783748280"</f>
        <v>9781783748280</v>
      </c>
      <c r="D1237" t="str">
        <f>"9781783748297"</f>
        <v>9781783748297</v>
      </c>
      <c r="E1237" t="s">
        <v>580</v>
      </c>
      <c r="F1237" s="1">
        <v>43809</v>
      </c>
    </row>
    <row r="1238" spans="1:6" x14ac:dyDescent="0.25">
      <c r="A1238">
        <v>6021009</v>
      </c>
      <c r="B1238" t="s">
        <v>1262</v>
      </c>
      <c r="C1238" t="str">
        <f>"9781783747924"</f>
        <v>9781783747924</v>
      </c>
      <c r="D1238" t="str">
        <f>"9781783747931"</f>
        <v>9781783747931</v>
      </c>
      <c r="E1238" t="s">
        <v>580</v>
      </c>
      <c r="F1238" s="1">
        <v>43804</v>
      </c>
    </row>
    <row r="1239" spans="1:6" x14ac:dyDescent="0.25">
      <c r="A1239">
        <v>6034256</v>
      </c>
      <c r="B1239" t="s">
        <v>1263</v>
      </c>
      <c r="C1239" t="str">
        <f>"9781478003120"</f>
        <v>9781478003120</v>
      </c>
      <c r="D1239" t="str">
        <f>"9781478004387"</f>
        <v>9781478004387</v>
      </c>
      <c r="E1239" t="s">
        <v>174</v>
      </c>
      <c r="F1239" s="1">
        <v>43903</v>
      </c>
    </row>
    <row r="1240" spans="1:6" x14ac:dyDescent="0.25">
      <c r="A1240">
        <v>6034259</v>
      </c>
      <c r="B1240" t="s">
        <v>1264</v>
      </c>
      <c r="C1240" t="str">
        <f>"9781478005957"</f>
        <v>9781478005957</v>
      </c>
      <c r="D1240" t="str">
        <f>"9781478007326"</f>
        <v>9781478007326</v>
      </c>
      <c r="E1240" t="s">
        <v>174</v>
      </c>
      <c r="F1240" s="1">
        <v>43903</v>
      </c>
    </row>
    <row r="1241" spans="1:6" x14ac:dyDescent="0.25">
      <c r="A1241">
        <v>6111529</v>
      </c>
      <c r="B1241" t="s">
        <v>1265</v>
      </c>
      <c r="C1241" t="str">
        <f>"9783030367138"</f>
        <v>9783030367138</v>
      </c>
      <c r="D1241" t="str">
        <f>"9783030367145"</f>
        <v>9783030367145</v>
      </c>
      <c r="E1241" t="s">
        <v>756</v>
      </c>
      <c r="F1241" s="1">
        <v>43834</v>
      </c>
    </row>
    <row r="1242" spans="1:6" x14ac:dyDescent="0.25">
      <c r="A1242">
        <v>6113652</v>
      </c>
      <c r="B1242" t="s">
        <v>1266</v>
      </c>
      <c r="C1242" t="str">
        <f>"9783030168766"</f>
        <v>9783030168766</v>
      </c>
      <c r="D1242" t="str">
        <f>"9783030168773"</f>
        <v>9783030168773</v>
      </c>
      <c r="E1242" t="s">
        <v>756</v>
      </c>
      <c r="F1242" s="1">
        <v>43780</v>
      </c>
    </row>
    <row r="1243" spans="1:6" x14ac:dyDescent="0.25">
      <c r="A1243">
        <v>6119032</v>
      </c>
      <c r="B1243" t="s">
        <v>1267</v>
      </c>
      <c r="C1243" t="str">
        <f>""</f>
        <v/>
      </c>
      <c r="D1243" t="str">
        <f>"9789179299866"</f>
        <v>9789179299866</v>
      </c>
      <c r="E1243" t="s">
        <v>1268</v>
      </c>
      <c r="F1243" s="1">
        <v>43878</v>
      </c>
    </row>
    <row r="1244" spans="1:6" x14ac:dyDescent="0.25">
      <c r="A1244">
        <v>6119033</v>
      </c>
      <c r="B1244" t="s">
        <v>1269</v>
      </c>
      <c r="C1244" t="str">
        <f>""</f>
        <v/>
      </c>
      <c r="D1244" t="str">
        <f>"9789179298845"</f>
        <v>9789179298845</v>
      </c>
      <c r="E1244" t="s">
        <v>1268</v>
      </c>
      <c r="F1244" s="1">
        <v>43877</v>
      </c>
    </row>
    <row r="1245" spans="1:6" x14ac:dyDescent="0.25">
      <c r="A1245">
        <v>6119034</v>
      </c>
      <c r="B1245" t="s">
        <v>1270</v>
      </c>
      <c r="C1245" t="str">
        <f>""</f>
        <v/>
      </c>
      <c r="D1245" t="str">
        <f>"9789179299439"</f>
        <v>9789179299439</v>
      </c>
      <c r="E1245" t="s">
        <v>1268</v>
      </c>
      <c r="F1245" s="1">
        <v>43878</v>
      </c>
    </row>
    <row r="1246" spans="1:6" x14ac:dyDescent="0.25">
      <c r="A1246">
        <v>6119035</v>
      </c>
      <c r="B1246" t="s">
        <v>1271</v>
      </c>
      <c r="C1246" t="str">
        <f>""</f>
        <v/>
      </c>
      <c r="D1246" t="str">
        <f>"9789179298937"</f>
        <v>9789179298937</v>
      </c>
      <c r="E1246" t="s">
        <v>1268</v>
      </c>
      <c r="F1246" s="1">
        <v>43878</v>
      </c>
    </row>
    <row r="1247" spans="1:6" x14ac:dyDescent="0.25">
      <c r="A1247">
        <v>6119036</v>
      </c>
      <c r="B1247" t="s">
        <v>1272</v>
      </c>
      <c r="C1247" t="str">
        <f>""</f>
        <v/>
      </c>
      <c r="D1247" t="str">
        <f>"9789179299408"</f>
        <v>9789179299408</v>
      </c>
      <c r="E1247" t="s">
        <v>1268</v>
      </c>
      <c r="F1247" s="1">
        <v>43878</v>
      </c>
    </row>
    <row r="1248" spans="1:6" x14ac:dyDescent="0.25">
      <c r="A1248">
        <v>6119037</v>
      </c>
      <c r="B1248" t="s">
        <v>1273</v>
      </c>
      <c r="C1248" t="str">
        <f>""</f>
        <v/>
      </c>
      <c r="D1248" t="str">
        <f>"9789179298944"</f>
        <v>9789179298944</v>
      </c>
      <c r="E1248" t="s">
        <v>1268</v>
      </c>
      <c r="F1248" s="1">
        <v>43867</v>
      </c>
    </row>
    <row r="1249" spans="1:6" x14ac:dyDescent="0.25">
      <c r="A1249">
        <v>6119038</v>
      </c>
      <c r="B1249" t="s">
        <v>1274</v>
      </c>
      <c r="C1249" t="str">
        <f>""</f>
        <v/>
      </c>
      <c r="D1249" t="str">
        <f>"9789179299057"</f>
        <v>9789179299057</v>
      </c>
      <c r="E1249" t="s">
        <v>1268</v>
      </c>
      <c r="F1249" s="1">
        <v>43879</v>
      </c>
    </row>
    <row r="1250" spans="1:6" x14ac:dyDescent="0.25">
      <c r="A1250">
        <v>6119039</v>
      </c>
      <c r="B1250" t="s">
        <v>1275</v>
      </c>
      <c r="C1250" t="str">
        <f>""</f>
        <v/>
      </c>
      <c r="D1250" t="str">
        <f>"9789179299095"</f>
        <v>9789179299095</v>
      </c>
      <c r="E1250" t="s">
        <v>1268</v>
      </c>
      <c r="F1250" s="1">
        <v>43850</v>
      </c>
    </row>
    <row r="1251" spans="1:6" x14ac:dyDescent="0.25">
      <c r="A1251">
        <v>6119556</v>
      </c>
      <c r="B1251" t="s">
        <v>1276</v>
      </c>
      <c r="C1251" t="str">
        <f>"9781783746767"</f>
        <v>9781783746767</v>
      </c>
      <c r="D1251" t="str">
        <f>"9781783746774"</f>
        <v>9781783746774</v>
      </c>
      <c r="E1251" t="s">
        <v>580</v>
      </c>
      <c r="F1251" s="1">
        <v>43858</v>
      </c>
    </row>
    <row r="1252" spans="1:6" x14ac:dyDescent="0.25">
      <c r="A1252">
        <v>6119557</v>
      </c>
      <c r="B1252" t="s">
        <v>1277</v>
      </c>
      <c r="C1252" t="str">
        <f>"9781783748587"</f>
        <v>9781783748587</v>
      </c>
      <c r="D1252" t="str">
        <f>"9781783748594"</f>
        <v>9781783748594</v>
      </c>
      <c r="E1252" t="s">
        <v>580</v>
      </c>
      <c r="F1252" s="1">
        <v>43859</v>
      </c>
    </row>
    <row r="1253" spans="1:6" x14ac:dyDescent="0.25">
      <c r="A1253">
        <v>6121026</v>
      </c>
      <c r="B1253" t="s">
        <v>1278</v>
      </c>
      <c r="C1253" t="str">
        <f>"9789462984530"</f>
        <v>9789462984530</v>
      </c>
      <c r="D1253" t="str">
        <f>"9789048535217"</f>
        <v>9789048535217</v>
      </c>
      <c r="E1253" t="s">
        <v>59</v>
      </c>
      <c r="F1253" s="1">
        <v>43902</v>
      </c>
    </row>
    <row r="1254" spans="1:6" x14ac:dyDescent="0.25">
      <c r="A1254">
        <v>6122290</v>
      </c>
      <c r="B1254" t="s">
        <v>1279</v>
      </c>
      <c r="C1254" t="str">
        <f>"9781783748402"</f>
        <v>9781783748402</v>
      </c>
      <c r="D1254" t="str">
        <f>"9781783748419"</f>
        <v>9781783748419</v>
      </c>
      <c r="E1254" t="s">
        <v>580</v>
      </c>
      <c r="F1254" s="1">
        <v>43845</v>
      </c>
    </row>
    <row r="1255" spans="1:6" x14ac:dyDescent="0.25">
      <c r="A1255">
        <v>6125607</v>
      </c>
      <c r="B1255" t="s">
        <v>1280</v>
      </c>
      <c r="C1255" t="str">
        <f>""</f>
        <v/>
      </c>
      <c r="D1255" t="str">
        <f>"9789179299392"</f>
        <v>9789179299392</v>
      </c>
      <c r="E1255" t="s">
        <v>1268</v>
      </c>
      <c r="F1255" s="1">
        <v>43886</v>
      </c>
    </row>
    <row r="1256" spans="1:6" x14ac:dyDescent="0.25">
      <c r="A1256">
        <v>6127852</v>
      </c>
      <c r="B1256" t="s">
        <v>1281</v>
      </c>
      <c r="C1256" t="str">
        <f>"9781478006169"</f>
        <v>9781478006169</v>
      </c>
      <c r="D1256" t="str">
        <f>"9781478007586"</f>
        <v>9781478007586</v>
      </c>
      <c r="E1256" t="s">
        <v>174</v>
      </c>
      <c r="F1256" s="1">
        <v>43931</v>
      </c>
    </row>
    <row r="1257" spans="1:6" x14ac:dyDescent="0.25">
      <c r="A1257">
        <v>6129767</v>
      </c>
      <c r="B1257" t="s">
        <v>1282</v>
      </c>
      <c r="C1257" t="str">
        <f>""</f>
        <v/>
      </c>
      <c r="D1257" t="str">
        <f>"9789179298869"</f>
        <v>9789179298869</v>
      </c>
      <c r="E1257" t="s">
        <v>1268</v>
      </c>
      <c r="F1257" s="1">
        <v>43892</v>
      </c>
    </row>
    <row r="1258" spans="1:6" x14ac:dyDescent="0.25">
      <c r="A1258">
        <v>6129768</v>
      </c>
      <c r="B1258" t="s">
        <v>1283</v>
      </c>
      <c r="C1258" t="str">
        <f>""</f>
        <v/>
      </c>
      <c r="D1258" t="str">
        <f>"9789179298791"</f>
        <v>9789179298791</v>
      </c>
      <c r="E1258" t="s">
        <v>1268</v>
      </c>
      <c r="F1258" s="1">
        <v>43882</v>
      </c>
    </row>
    <row r="1259" spans="1:6" x14ac:dyDescent="0.25">
      <c r="A1259">
        <v>6129769</v>
      </c>
      <c r="B1259" t="s">
        <v>1284</v>
      </c>
      <c r="C1259" t="str">
        <f>""</f>
        <v/>
      </c>
      <c r="D1259" t="str">
        <f>"9789179299521"</f>
        <v>9789179299521</v>
      </c>
      <c r="E1259" t="s">
        <v>1268</v>
      </c>
      <c r="F1259" s="1">
        <v>43895</v>
      </c>
    </row>
    <row r="1260" spans="1:6" x14ac:dyDescent="0.25">
      <c r="A1260">
        <v>6130869</v>
      </c>
      <c r="B1260" t="s">
        <v>1285</v>
      </c>
      <c r="C1260" t="str">
        <f>"9781478006114"</f>
        <v>9781478006114</v>
      </c>
      <c r="D1260" t="str">
        <f>"9781478007531"</f>
        <v>9781478007531</v>
      </c>
      <c r="E1260" t="s">
        <v>174</v>
      </c>
      <c r="F1260" s="1">
        <v>43903</v>
      </c>
    </row>
    <row r="1261" spans="1:6" x14ac:dyDescent="0.25">
      <c r="A1261">
        <v>6132344</v>
      </c>
      <c r="B1261" t="s">
        <v>1286</v>
      </c>
      <c r="C1261" t="str">
        <f>"9781789620177"</f>
        <v>9781789620177</v>
      </c>
      <c r="D1261" t="str">
        <f>"9781789624342"</f>
        <v>9781789624342</v>
      </c>
      <c r="E1261" t="s">
        <v>1287</v>
      </c>
      <c r="F1261" s="1">
        <v>43782</v>
      </c>
    </row>
    <row r="1262" spans="1:6" x14ac:dyDescent="0.25">
      <c r="A1262">
        <v>6132349</v>
      </c>
      <c r="B1262" t="s">
        <v>1288</v>
      </c>
      <c r="C1262" t="str">
        <f>"9781789620801"</f>
        <v>9781789620801</v>
      </c>
      <c r="D1262" t="str">
        <f>"9781789624915"</f>
        <v>9781789624915</v>
      </c>
      <c r="E1262" t="s">
        <v>1287</v>
      </c>
      <c r="F1262" s="1">
        <v>43830</v>
      </c>
    </row>
    <row r="1263" spans="1:6" x14ac:dyDescent="0.25">
      <c r="A1263">
        <v>6133845</v>
      </c>
      <c r="B1263" t="s">
        <v>1289</v>
      </c>
      <c r="C1263" t="str">
        <f>"9781478003151"</f>
        <v>9781478003151</v>
      </c>
      <c r="D1263" t="str">
        <f>"9781478004424"</f>
        <v>9781478004424</v>
      </c>
      <c r="E1263" t="s">
        <v>174</v>
      </c>
      <c r="F1263" s="1">
        <v>43812</v>
      </c>
    </row>
    <row r="1264" spans="1:6" x14ac:dyDescent="0.25">
      <c r="A1264">
        <v>6134160</v>
      </c>
      <c r="B1264" t="s">
        <v>1290</v>
      </c>
      <c r="C1264" t="str">
        <f>""</f>
        <v/>
      </c>
      <c r="D1264" t="str">
        <f>"9789179299101"</f>
        <v>9789179299101</v>
      </c>
      <c r="E1264" t="s">
        <v>1268</v>
      </c>
      <c r="F1264" s="1">
        <v>43903</v>
      </c>
    </row>
    <row r="1265" spans="1:6" x14ac:dyDescent="0.25">
      <c r="A1265">
        <v>6134161</v>
      </c>
      <c r="B1265" t="s">
        <v>1291</v>
      </c>
      <c r="C1265" t="str">
        <f>""</f>
        <v/>
      </c>
      <c r="D1265" t="str">
        <f>"9789179298968"</f>
        <v>9789179298968</v>
      </c>
      <c r="E1265" t="s">
        <v>1268</v>
      </c>
      <c r="F1265" s="1">
        <v>43900</v>
      </c>
    </row>
    <row r="1266" spans="1:6" x14ac:dyDescent="0.25">
      <c r="A1266">
        <v>6134162</v>
      </c>
      <c r="B1266" t="s">
        <v>1292</v>
      </c>
      <c r="C1266" t="str">
        <f>""</f>
        <v/>
      </c>
      <c r="D1266" t="str">
        <f>"9789179299149"</f>
        <v>9789179299149</v>
      </c>
      <c r="E1266" t="s">
        <v>1268</v>
      </c>
      <c r="F1266" s="1">
        <v>43899</v>
      </c>
    </row>
    <row r="1267" spans="1:6" x14ac:dyDescent="0.25">
      <c r="A1267">
        <v>6142605</v>
      </c>
      <c r="B1267" t="s">
        <v>1293</v>
      </c>
      <c r="C1267" t="str">
        <f>""</f>
        <v/>
      </c>
      <c r="D1267" t="str">
        <f>"9789179298852"</f>
        <v>9789179298852</v>
      </c>
      <c r="E1267" t="s">
        <v>1268</v>
      </c>
      <c r="F1267" s="1">
        <v>43907</v>
      </c>
    </row>
    <row r="1268" spans="1:6" x14ac:dyDescent="0.25">
      <c r="A1268">
        <v>6142606</v>
      </c>
      <c r="B1268" t="s">
        <v>1294</v>
      </c>
      <c r="C1268" t="str">
        <f>""</f>
        <v/>
      </c>
      <c r="D1268" t="str">
        <f>"9789179299163"</f>
        <v>9789179299163</v>
      </c>
      <c r="E1268" t="s">
        <v>1268</v>
      </c>
      <c r="F1268" s="1">
        <v>43910</v>
      </c>
    </row>
    <row r="1269" spans="1:6" x14ac:dyDescent="0.25">
      <c r="A1269">
        <v>6142607</v>
      </c>
      <c r="B1269" t="s">
        <v>1295</v>
      </c>
      <c r="C1269" t="str">
        <f>""</f>
        <v/>
      </c>
      <c r="D1269" t="str">
        <f>"9789179298784"</f>
        <v>9789179298784</v>
      </c>
      <c r="E1269" t="s">
        <v>1268</v>
      </c>
      <c r="F1269" s="1">
        <v>43908</v>
      </c>
    </row>
    <row r="1270" spans="1:6" x14ac:dyDescent="0.25">
      <c r="A1270">
        <v>6142608</v>
      </c>
      <c r="B1270" t="s">
        <v>1296</v>
      </c>
      <c r="C1270" t="str">
        <f>""</f>
        <v/>
      </c>
      <c r="D1270" t="str">
        <f>"9789179298722"</f>
        <v>9789179298722</v>
      </c>
      <c r="E1270" t="s">
        <v>1268</v>
      </c>
      <c r="F1270" s="1">
        <v>43908</v>
      </c>
    </row>
    <row r="1271" spans="1:6" x14ac:dyDescent="0.25">
      <c r="A1271">
        <v>6147646</v>
      </c>
      <c r="B1271" t="s">
        <v>1297</v>
      </c>
      <c r="C1271" t="str">
        <f>""</f>
        <v/>
      </c>
      <c r="D1271" t="str">
        <f>"9789179299125"</f>
        <v>9789179299125</v>
      </c>
      <c r="E1271" t="s">
        <v>1268</v>
      </c>
      <c r="F1271" s="1">
        <v>43914</v>
      </c>
    </row>
    <row r="1272" spans="1:6" x14ac:dyDescent="0.25">
      <c r="A1272">
        <v>6147647</v>
      </c>
      <c r="B1272" t="s">
        <v>1298</v>
      </c>
      <c r="C1272" t="str">
        <f>""</f>
        <v/>
      </c>
      <c r="D1272" t="str">
        <f>"9789179298982"</f>
        <v>9789179298982</v>
      </c>
      <c r="E1272" t="s">
        <v>1268</v>
      </c>
      <c r="F1272" s="1">
        <v>43897</v>
      </c>
    </row>
    <row r="1273" spans="1:6" x14ac:dyDescent="0.25">
      <c r="A1273">
        <v>6148188</v>
      </c>
      <c r="B1273" t="s">
        <v>1299</v>
      </c>
      <c r="C1273" t="str">
        <f>"9781783748884"</f>
        <v>9781783748884</v>
      </c>
      <c r="D1273" t="str">
        <f>"9781783748891"</f>
        <v>9781783748891</v>
      </c>
      <c r="E1273" t="s">
        <v>580</v>
      </c>
      <c r="F1273" s="1">
        <v>43902</v>
      </c>
    </row>
    <row r="1274" spans="1:6" x14ac:dyDescent="0.25">
      <c r="A1274">
        <v>6151556</v>
      </c>
      <c r="B1274" t="s">
        <v>1300</v>
      </c>
      <c r="C1274" t="str">
        <f>"9781783749218"</f>
        <v>9781783749218</v>
      </c>
      <c r="D1274" t="str">
        <f>"9781783749225"</f>
        <v>9781783749225</v>
      </c>
      <c r="E1274" t="s">
        <v>580</v>
      </c>
      <c r="F1274" s="1">
        <v>43908</v>
      </c>
    </row>
    <row r="1275" spans="1:6" x14ac:dyDescent="0.25">
      <c r="A1275">
        <v>6151557</v>
      </c>
      <c r="B1275" t="s">
        <v>1301</v>
      </c>
      <c r="C1275" t="str">
        <f>"9781783748938"</f>
        <v>9781783748938</v>
      </c>
      <c r="D1275" t="str">
        <f>"9781783748945"</f>
        <v>9781783748945</v>
      </c>
      <c r="E1275" t="s">
        <v>580</v>
      </c>
      <c r="F1275" s="1">
        <v>43908</v>
      </c>
    </row>
    <row r="1276" spans="1:6" x14ac:dyDescent="0.25">
      <c r="A1276">
        <v>6154392</v>
      </c>
      <c r="B1276" t="s">
        <v>1302</v>
      </c>
      <c r="C1276" t="str">
        <f>"9781783748761"</f>
        <v>9781783748761</v>
      </c>
      <c r="D1276" t="str">
        <f>"9781783748778"</f>
        <v>9781783748778</v>
      </c>
      <c r="E1276" t="s">
        <v>580</v>
      </c>
      <c r="F1276" s="1">
        <v>43914</v>
      </c>
    </row>
    <row r="1277" spans="1:6" x14ac:dyDescent="0.25">
      <c r="A1277">
        <v>6157380</v>
      </c>
      <c r="B1277" t="s">
        <v>1303</v>
      </c>
      <c r="C1277" t="str">
        <f>""</f>
        <v/>
      </c>
      <c r="D1277" t="str">
        <f>"9789179298630"</f>
        <v>9789179298630</v>
      </c>
      <c r="E1277" t="s">
        <v>1268</v>
      </c>
      <c r="F1277" s="1">
        <v>43923</v>
      </c>
    </row>
    <row r="1278" spans="1:6" x14ac:dyDescent="0.25">
      <c r="A1278">
        <v>6157381</v>
      </c>
      <c r="B1278" t="s">
        <v>1304</v>
      </c>
      <c r="C1278" t="str">
        <f>""</f>
        <v/>
      </c>
      <c r="D1278" t="str">
        <f>"9789179298913"</f>
        <v>9789179298913</v>
      </c>
      <c r="E1278" t="s">
        <v>1268</v>
      </c>
      <c r="F1278" s="1">
        <v>43922</v>
      </c>
    </row>
    <row r="1279" spans="1:6" x14ac:dyDescent="0.25">
      <c r="A1279">
        <v>6157382</v>
      </c>
      <c r="B1279" t="s">
        <v>1305</v>
      </c>
      <c r="C1279" t="str">
        <f>""</f>
        <v/>
      </c>
      <c r="D1279" t="str">
        <f>"9789179298692"</f>
        <v>9789179298692</v>
      </c>
      <c r="E1279" t="s">
        <v>1268</v>
      </c>
      <c r="F1279" s="1">
        <v>43922</v>
      </c>
    </row>
    <row r="1280" spans="1:6" x14ac:dyDescent="0.25">
      <c r="A1280">
        <v>6173782</v>
      </c>
      <c r="B1280" t="s">
        <v>1306</v>
      </c>
      <c r="C1280" t="str">
        <f>""</f>
        <v/>
      </c>
      <c r="D1280" t="str">
        <f>"9789179299033"</f>
        <v>9789179299033</v>
      </c>
      <c r="E1280" t="s">
        <v>1268</v>
      </c>
      <c r="F1280" s="1">
        <v>43906</v>
      </c>
    </row>
    <row r="1281" spans="1:6" x14ac:dyDescent="0.25">
      <c r="A1281">
        <v>6173783</v>
      </c>
      <c r="B1281" t="s">
        <v>1307</v>
      </c>
      <c r="C1281" t="str">
        <f>""</f>
        <v/>
      </c>
      <c r="D1281" t="str">
        <f>"9789179298906"</f>
        <v>9789179298906</v>
      </c>
      <c r="E1281" t="s">
        <v>1268</v>
      </c>
      <c r="F1281" s="1">
        <v>43928</v>
      </c>
    </row>
    <row r="1282" spans="1:6" x14ac:dyDescent="0.25">
      <c r="A1282">
        <v>6173784</v>
      </c>
      <c r="B1282" t="s">
        <v>1308</v>
      </c>
      <c r="C1282" t="str">
        <f>""</f>
        <v/>
      </c>
      <c r="D1282" t="str">
        <f>"9789179298890"</f>
        <v>9789179298890</v>
      </c>
      <c r="E1282" t="s">
        <v>1268</v>
      </c>
      <c r="F1282" s="1">
        <v>43916</v>
      </c>
    </row>
    <row r="1283" spans="1:6" x14ac:dyDescent="0.25">
      <c r="A1283">
        <v>6173785</v>
      </c>
      <c r="B1283" t="s">
        <v>1309</v>
      </c>
      <c r="C1283" t="str">
        <f>""</f>
        <v/>
      </c>
      <c r="D1283" t="str">
        <f>"9789179298951"</f>
        <v>9789179298951</v>
      </c>
      <c r="E1283" t="s">
        <v>1268</v>
      </c>
      <c r="F1283" s="1">
        <v>43928</v>
      </c>
    </row>
    <row r="1284" spans="1:6" x14ac:dyDescent="0.25">
      <c r="A1284">
        <v>6175848</v>
      </c>
      <c r="B1284" t="s">
        <v>1310</v>
      </c>
      <c r="C1284" t="str">
        <f>"9781783748709"</f>
        <v>9781783748709</v>
      </c>
      <c r="D1284" t="str">
        <f>"9781783748716"</f>
        <v>9781783748716</v>
      </c>
      <c r="E1284" t="s">
        <v>580</v>
      </c>
      <c r="F1284" s="1">
        <v>43923</v>
      </c>
    </row>
    <row r="1285" spans="1:6" x14ac:dyDescent="0.25">
      <c r="A1285">
        <v>6177564</v>
      </c>
      <c r="B1285" t="s">
        <v>1311</v>
      </c>
      <c r="C1285" t="str">
        <f>""</f>
        <v/>
      </c>
      <c r="D1285" t="str">
        <f>"9789179298760"</f>
        <v>9789179298760</v>
      </c>
      <c r="E1285" t="s">
        <v>1268</v>
      </c>
      <c r="F1285" s="1">
        <v>43937</v>
      </c>
    </row>
    <row r="1286" spans="1:6" x14ac:dyDescent="0.25">
      <c r="A1286">
        <v>6177565</v>
      </c>
      <c r="B1286" t="s">
        <v>1312</v>
      </c>
      <c r="C1286" t="str">
        <f>""</f>
        <v/>
      </c>
      <c r="D1286" t="str">
        <f>"9789179298814"</f>
        <v>9789179298814</v>
      </c>
      <c r="E1286" t="s">
        <v>1268</v>
      </c>
      <c r="F1286" s="1">
        <v>43936</v>
      </c>
    </row>
    <row r="1287" spans="1:6" x14ac:dyDescent="0.25">
      <c r="A1287">
        <v>6179391</v>
      </c>
      <c r="B1287" t="s">
        <v>1313</v>
      </c>
      <c r="C1287" t="str">
        <f>"9780813590745"</f>
        <v>9780813590745</v>
      </c>
      <c r="D1287" t="str">
        <f>"9780813590776"</f>
        <v>9780813590776</v>
      </c>
      <c r="E1287" t="s">
        <v>51</v>
      </c>
      <c r="F1287" s="1">
        <v>43994</v>
      </c>
    </row>
    <row r="1288" spans="1:6" x14ac:dyDescent="0.25">
      <c r="A1288">
        <v>6183814</v>
      </c>
      <c r="B1288" t="s">
        <v>1314</v>
      </c>
      <c r="C1288" t="str">
        <f>""</f>
        <v/>
      </c>
      <c r="D1288" t="str">
        <f>"9789179298432"</f>
        <v>9789179298432</v>
      </c>
      <c r="E1288" t="s">
        <v>1268</v>
      </c>
      <c r="F1288" s="1">
        <v>43944</v>
      </c>
    </row>
    <row r="1289" spans="1:6" x14ac:dyDescent="0.25">
      <c r="A1289">
        <v>6183815</v>
      </c>
      <c r="B1289" t="s">
        <v>1315</v>
      </c>
      <c r="C1289" t="str">
        <f>""</f>
        <v/>
      </c>
      <c r="D1289" t="str">
        <f>"9789179298586"</f>
        <v>9789179298586</v>
      </c>
      <c r="E1289" t="s">
        <v>1268</v>
      </c>
      <c r="F1289" s="1">
        <v>43941</v>
      </c>
    </row>
    <row r="1290" spans="1:6" x14ac:dyDescent="0.25">
      <c r="A1290">
        <v>6183817</v>
      </c>
      <c r="B1290" t="s">
        <v>1316</v>
      </c>
      <c r="C1290" t="str">
        <f>""</f>
        <v/>
      </c>
      <c r="D1290" t="str">
        <f>"9789179298487"</f>
        <v>9789179298487</v>
      </c>
      <c r="E1290" t="s">
        <v>1268</v>
      </c>
      <c r="F1290" s="1">
        <v>43941</v>
      </c>
    </row>
    <row r="1291" spans="1:6" x14ac:dyDescent="0.25">
      <c r="A1291">
        <v>6183818</v>
      </c>
      <c r="B1291" t="s">
        <v>1317</v>
      </c>
      <c r="C1291" t="str">
        <f>""</f>
        <v/>
      </c>
      <c r="D1291" t="str">
        <f>"9789179298456"</f>
        <v>9789179298456</v>
      </c>
      <c r="E1291" t="s">
        <v>1268</v>
      </c>
      <c r="F1291" s="1">
        <v>43943</v>
      </c>
    </row>
    <row r="1292" spans="1:6" x14ac:dyDescent="0.25">
      <c r="A1292">
        <v>6183819</v>
      </c>
      <c r="B1292" t="s">
        <v>1318</v>
      </c>
      <c r="C1292" t="str">
        <f>""</f>
        <v/>
      </c>
      <c r="D1292" t="str">
        <f>"9789179298715"</f>
        <v>9789179298715</v>
      </c>
      <c r="E1292" t="s">
        <v>1268</v>
      </c>
      <c r="F1292" s="1">
        <v>43942</v>
      </c>
    </row>
    <row r="1293" spans="1:6" x14ac:dyDescent="0.25">
      <c r="A1293">
        <v>6183820</v>
      </c>
      <c r="B1293" t="s">
        <v>1319</v>
      </c>
      <c r="C1293" t="str">
        <f>""</f>
        <v/>
      </c>
      <c r="D1293" t="str">
        <f>"9789179298739"</f>
        <v>9789179298739</v>
      </c>
      <c r="E1293" t="s">
        <v>1268</v>
      </c>
      <c r="F1293" s="1">
        <v>43941</v>
      </c>
    </row>
    <row r="1294" spans="1:6" x14ac:dyDescent="0.25">
      <c r="A1294">
        <v>6184690</v>
      </c>
      <c r="B1294" t="s">
        <v>1320</v>
      </c>
      <c r="C1294" t="str">
        <f>"9781783748464"</f>
        <v>9781783748464</v>
      </c>
      <c r="D1294" t="str">
        <f>"9781783748471"</f>
        <v>9781783748471</v>
      </c>
      <c r="E1294" t="s">
        <v>580</v>
      </c>
      <c r="F1294" s="1">
        <v>43943</v>
      </c>
    </row>
    <row r="1295" spans="1:6" x14ac:dyDescent="0.25">
      <c r="A1295">
        <v>6184691</v>
      </c>
      <c r="B1295" t="s">
        <v>1321</v>
      </c>
      <c r="C1295" t="str">
        <f>"9781783748822"</f>
        <v>9781783748822</v>
      </c>
      <c r="D1295" t="str">
        <f>"9781783748839"</f>
        <v>9781783748839</v>
      </c>
      <c r="E1295" t="s">
        <v>580</v>
      </c>
      <c r="F1295" s="1">
        <v>43931</v>
      </c>
    </row>
    <row r="1296" spans="1:6" x14ac:dyDescent="0.25">
      <c r="A1296">
        <v>6188803</v>
      </c>
      <c r="B1296" t="s">
        <v>1322</v>
      </c>
      <c r="C1296" t="str">
        <f>""</f>
        <v/>
      </c>
      <c r="D1296" t="str">
        <f>"9789179298326"</f>
        <v>9789179298326</v>
      </c>
      <c r="E1296" t="s">
        <v>1268</v>
      </c>
      <c r="F1296" s="1">
        <v>43948</v>
      </c>
    </row>
    <row r="1297" spans="1:6" x14ac:dyDescent="0.25">
      <c r="A1297">
        <v>6188804</v>
      </c>
      <c r="B1297" t="s">
        <v>1323</v>
      </c>
      <c r="C1297" t="str">
        <f>""</f>
        <v/>
      </c>
      <c r="D1297" t="str">
        <f>"9789179298470"</f>
        <v>9789179298470</v>
      </c>
      <c r="E1297" t="s">
        <v>1268</v>
      </c>
      <c r="F1297" s="1">
        <v>43942</v>
      </c>
    </row>
    <row r="1298" spans="1:6" x14ac:dyDescent="0.25">
      <c r="A1298">
        <v>6188805</v>
      </c>
      <c r="B1298" t="s">
        <v>1324</v>
      </c>
      <c r="C1298" t="str">
        <f>""</f>
        <v/>
      </c>
      <c r="D1298" t="str">
        <f>"9789179298685"</f>
        <v>9789179298685</v>
      </c>
      <c r="E1298" t="s">
        <v>1268</v>
      </c>
      <c r="F1298" s="1">
        <v>43949</v>
      </c>
    </row>
    <row r="1299" spans="1:6" x14ac:dyDescent="0.25">
      <c r="A1299">
        <v>6188806</v>
      </c>
      <c r="B1299" t="s">
        <v>1325</v>
      </c>
      <c r="C1299" t="str">
        <f>""</f>
        <v/>
      </c>
      <c r="D1299" t="str">
        <f>"9789179299071"</f>
        <v>9789179299071</v>
      </c>
      <c r="E1299" t="s">
        <v>1268</v>
      </c>
      <c r="F1299" s="1">
        <v>43948</v>
      </c>
    </row>
    <row r="1300" spans="1:6" x14ac:dyDescent="0.25">
      <c r="A1300">
        <v>6188807</v>
      </c>
      <c r="B1300" t="s">
        <v>1326</v>
      </c>
      <c r="C1300" t="str">
        <f>""</f>
        <v/>
      </c>
      <c r="D1300" t="str">
        <f>"9789179298609"</f>
        <v>9789179298609</v>
      </c>
      <c r="E1300" t="s">
        <v>1268</v>
      </c>
      <c r="F1300" s="1">
        <v>43949</v>
      </c>
    </row>
    <row r="1301" spans="1:6" x14ac:dyDescent="0.25">
      <c r="A1301">
        <v>6192717</v>
      </c>
      <c r="B1301" t="s">
        <v>1327</v>
      </c>
      <c r="C1301" t="str">
        <f>""</f>
        <v/>
      </c>
      <c r="D1301" t="str">
        <f>"9789179298807"</f>
        <v>9789179298807</v>
      </c>
      <c r="E1301" t="s">
        <v>1268</v>
      </c>
      <c r="F1301" s="1">
        <v>43957</v>
      </c>
    </row>
    <row r="1302" spans="1:6" x14ac:dyDescent="0.25">
      <c r="A1302">
        <v>6192719</v>
      </c>
      <c r="B1302" t="s">
        <v>1328</v>
      </c>
      <c r="C1302" t="str">
        <f>""</f>
        <v/>
      </c>
      <c r="D1302" t="str">
        <f>"9789179298678"</f>
        <v>9789179298678</v>
      </c>
      <c r="E1302" t="s">
        <v>1268</v>
      </c>
      <c r="F1302" s="1">
        <v>43956</v>
      </c>
    </row>
    <row r="1303" spans="1:6" x14ac:dyDescent="0.25">
      <c r="A1303">
        <v>6192720</v>
      </c>
      <c r="B1303" t="s">
        <v>1329</v>
      </c>
      <c r="C1303" t="str">
        <f>""</f>
        <v/>
      </c>
      <c r="D1303" t="str">
        <f>"9789179298562"</f>
        <v>9789179298562</v>
      </c>
      <c r="E1303" t="s">
        <v>1268</v>
      </c>
      <c r="F1303" s="1">
        <v>43957</v>
      </c>
    </row>
    <row r="1304" spans="1:6" x14ac:dyDescent="0.25">
      <c r="A1304">
        <v>6192721</v>
      </c>
      <c r="B1304" t="s">
        <v>1330</v>
      </c>
      <c r="C1304" t="str">
        <f>""</f>
        <v/>
      </c>
      <c r="D1304" t="str">
        <f>"9789179298395"</f>
        <v>9789179298395</v>
      </c>
      <c r="E1304" t="s">
        <v>1268</v>
      </c>
      <c r="F1304" s="1">
        <v>43955</v>
      </c>
    </row>
    <row r="1305" spans="1:6" x14ac:dyDescent="0.25">
      <c r="A1305">
        <v>6192722</v>
      </c>
      <c r="B1305" t="s">
        <v>1331</v>
      </c>
      <c r="C1305" t="str">
        <f>""</f>
        <v/>
      </c>
      <c r="D1305" t="str">
        <f>"9789179298555"</f>
        <v>9789179298555</v>
      </c>
      <c r="E1305" t="s">
        <v>1268</v>
      </c>
      <c r="F1305" s="1">
        <v>43957</v>
      </c>
    </row>
    <row r="1306" spans="1:6" x14ac:dyDescent="0.25">
      <c r="A1306">
        <v>6192723</v>
      </c>
      <c r="B1306" t="s">
        <v>1332</v>
      </c>
      <c r="C1306" t="str">
        <f>""</f>
        <v/>
      </c>
      <c r="D1306" t="str">
        <f>"9789179298647"</f>
        <v>9789179298647</v>
      </c>
      <c r="E1306" t="s">
        <v>1268</v>
      </c>
      <c r="F1306" s="1">
        <v>43956</v>
      </c>
    </row>
    <row r="1307" spans="1:6" x14ac:dyDescent="0.25">
      <c r="A1307">
        <v>6192724</v>
      </c>
      <c r="B1307" t="s">
        <v>1333</v>
      </c>
      <c r="C1307" t="str">
        <f>""</f>
        <v/>
      </c>
      <c r="D1307" t="str">
        <f>"9789179298593"</f>
        <v>9789179298593</v>
      </c>
      <c r="E1307" t="s">
        <v>1268</v>
      </c>
      <c r="F1307" s="1">
        <v>43957</v>
      </c>
    </row>
    <row r="1308" spans="1:6" x14ac:dyDescent="0.25">
      <c r="A1308">
        <v>6192725</v>
      </c>
      <c r="B1308" t="s">
        <v>1334</v>
      </c>
      <c r="C1308" t="str">
        <f>""</f>
        <v/>
      </c>
      <c r="D1308" t="str">
        <f>"9789179298579"</f>
        <v>9789179298579</v>
      </c>
      <c r="E1308" t="s">
        <v>1268</v>
      </c>
      <c r="F1308" s="1">
        <v>43956</v>
      </c>
    </row>
    <row r="1309" spans="1:6" x14ac:dyDescent="0.25">
      <c r="A1309">
        <v>6192727</v>
      </c>
      <c r="B1309" t="s">
        <v>1335</v>
      </c>
      <c r="C1309" t="str">
        <f>""</f>
        <v/>
      </c>
      <c r="D1309" t="str">
        <f>"9789179298876"</f>
        <v>9789179298876</v>
      </c>
      <c r="E1309" t="s">
        <v>1268</v>
      </c>
      <c r="F1309" s="1">
        <v>43935</v>
      </c>
    </row>
    <row r="1310" spans="1:6" x14ac:dyDescent="0.25">
      <c r="A1310">
        <v>6192800</v>
      </c>
      <c r="B1310" t="s">
        <v>1336</v>
      </c>
      <c r="C1310" t="str">
        <f>"9781478007920"</f>
        <v>9781478007920</v>
      </c>
      <c r="D1310" t="str">
        <f>"9781478012085"</f>
        <v>9781478012085</v>
      </c>
      <c r="E1310" t="s">
        <v>174</v>
      </c>
      <c r="F1310" s="1">
        <v>43994</v>
      </c>
    </row>
    <row r="1311" spans="1:6" x14ac:dyDescent="0.25">
      <c r="A1311">
        <v>6199845</v>
      </c>
      <c r="B1311" t="s">
        <v>1337</v>
      </c>
      <c r="C1311" t="str">
        <f>""</f>
        <v/>
      </c>
      <c r="D1311" t="str">
        <f>"9789179298357"</f>
        <v>9789179298357</v>
      </c>
      <c r="E1311" t="s">
        <v>1268</v>
      </c>
      <c r="F1311" s="1">
        <v>43961</v>
      </c>
    </row>
    <row r="1312" spans="1:6" x14ac:dyDescent="0.25">
      <c r="A1312">
        <v>6199846</v>
      </c>
      <c r="B1312" t="s">
        <v>1338</v>
      </c>
      <c r="C1312" t="str">
        <f>""</f>
        <v/>
      </c>
      <c r="D1312" t="str">
        <f>"9789179298661"</f>
        <v>9789179298661</v>
      </c>
      <c r="E1312" t="s">
        <v>1268</v>
      </c>
      <c r="F1312" s="1">
        <v>43965</v>
      </c>
    </row>
    <row r="1313" spans="1:6" x14ac:dyDescent="0.25">
      <c r="A1313">
        <v>6199847</v>
      </c>
      <c r="B1313" t="s">
        <v>1339</v>
      </c>
      <c r="C1313" t="str">
        <f>""</f>
        <v/>
      </c>
      <c r="D1313" t="str">
        <f>"9789179298463"</f>
        <v>9789179298463</v>
      </c>
      <c r="E1313" t="s">
        <v>1268</v>
      </c>
      <c r="F1313" s="1">
        <v>43963</v>
      </c>
    </row>
    <row r="1314" spans="1:6" x14ac:dyDescent="0.25">
      <c r="A1314">
        <v>6207711</v>
      </c>
      <c r="B1314" t="s">
        <v>1340</v>
      </c>
      <c r="C1314" t="str">
        <f>"9781783749300"</f>
        <v>9781783749300</v>
      </c>
      <c r="D1314" t="str">
        <f>"9781783749317"</f>
        <v>9781783749317</v>
      </c>
      <c r="E1314" t="s">
        <v>580</v>
      </c>
      <c r="F1314" s="1">
        <v>43956</v>
      </c>
    </row>
    <row r="1315" spans="1:6" x14ac:dyDescent="0.25">
      <c r="A1315">
        <v>6207712</v>
      </c>
      <c r="B1315" t="s">
        <v>1341</v>
      </c>
      <c r="C1315" t="str">
        <f>"9781783748044"</f>
        <v>9781783748044</v>
      </c>
      <c r="D1315" t="str">
        <f>"9781783748051"</f>
        <v>9781783748051</v>
      </c>
      <c r="E1315" t="s">
        <v>580</v>
      </c>
      <c r="F1315" s="1">
        <v>43943</v>
      </c>
    </row>
    <row r="1316" spans="1:6" x14ac:dyDescent="0.25">
      <c r="A1316">
        <v>6207713</v>
      </c>
      <c r="B1316" t="s">
        <v>1342</v>
      </c>
      <c r="C1316" t="str">
        <f>"9781783746811"</f>
        <v>9781783746811</v>
      </c>
      <c r="D1316" t="str">
        <f>"9781783746828"</f>
        <v>9781783746828</v>
      </c>
      <c r="E1316" t="s">
        <v>580</v>
      </c>
      <c r="F1316" s="1">
        <v>43916</v>
      </c>
    </row>
    <row r="1317" spans="1:6" x14ac:dyDescent="0.25">
      <c r="A1317">
        <v>6209771</v>
      </c>
      <c r="B1317" t="s">
        <v>1343</v>
      </c>
      <c r="C1317" t="str">
        <f>""</f>
        <v/>
      </c>
      <c r="D1317" t="str">
        <f>"9783110634822"</f>
        <v>9783110634822</v>
      </c>
      <c r="E1317" t="s">
        <v>73</v>
      </c>
      <c r="F1317" s="1">
        <v>43801</v>
      </c>
    </row>
    <row r="1318" spans="1:6" x14ac:dyDescent="0.25">
      <c r="A1318">
        <v>6209779</v>
      </c>
      <c r="B1318" t="s">
        <v>1344</v>
      </c>
      <c r="C1318" t="str">
        <f>"9783110477740"</f>
        <v>9783110477740</v>
      </c>
      <c r="D1318" t="str">
        <f>"9783110479133"</f>
        <v>9783110479133</v>
      </c>
      <c r="E1318" t="s">
        <v>73</v>
      </c>
      <c r="F1318" s="1">
        <v>43941</v>
      </c>
    </row>
    <row r="1319" spans="1:6" x14ac:dyDescent="0.25">
      <c r="A1319">
        <v>6209780</v>
      </c>
      <c r="B1319" t="s">
        <v>1345</v>
      </c>
      <c r="C1319" t="str">
        <f>""</f>
        <v/>
      </c>
      <c r="D1319" t="str">
        <f>"9783110673678"</f>
        <v>9783110673678</v>
      </c>
      <c r="E1319" t="s">
        <v>73</v>
      </c>
      <c r="F1319" s="1">
        <v>43850</v>
      </c>
    </row>
    <row r="1320" spans="1:6" x14ac:dyDescent="0.25">
      <c r="A1320">
        <v>6209790</v>
      </c>
      <c r="B1320" t="s">
        <v>1346</v>
      </c>
      <c r="C1320" t="str">
        <f>"9783110618013"</f>
        <v>9783110618013</v>
      </c>
      <c r="D1320" t="str">
        <f>"9783110619744"</f>
        <v>9783110619744</v>
      </c>
      <c r="E1320" t="s">
        <v>73</v>
      </c>
      <c r="F1320" s="1">
        <v>43815</v>
      </c>
    </row>
    <row r="1321" spans="1:6" x14ac:dyDescent="0.25">
      <c r="A1321">
        <v>6209791</v>
      </c>
      <c r="B1321" t="s">
        <v>1347</v>
      </c>
      <c r="C1321" t="str">
        <f>"9783110589962"</f>
        <v>9783110589962</v>
      </c>
      <c r="D1321" t="str">
        <f>"9783110591330"</f>
        <v>9783110591330</v>
      </c>
      <c r="E1321" t="s">
        <v>73</v>
      </c>
      <c r="F1321" s="1">
        <v>43774</v>
      </c>
    </row>
    <row r="1322" spans="1:6" x14ac:dyDescent="0.25">
      <c r="A1322">
        <v>6209792</v>
      </c>
      <c r="B1322" t="s">
        <v>1348</v>
      </c>
      <c r="C1322" t="str">
        <f>""</f>
        <v/>
      </c>
      <c r="D1322" t="str">
        <f>"9783110650686"</f>
        <v>9783110650686</v>
      </c>
      <c r="E1322" t="s">
        <v>73</v>
      </c>
      <c r="F1322" s="1">
        <v>43774</v>
      </c>
    </row>
    <row r="1323" spans="1:6" x14ac:dyDescent="0.25">
      <c r="A1323">
        <v>6209801</v>
      </c>
      <c r="B1323" t="s">
        <v>1349</v>
      </c>
      <c r="C1323" t="str">
        <f>""</f>
        <v/>
      </c>
      <c r="D1323" t="str">
        <f>"9783110642698"</f>
        <v>9783110642698</v>
      </c>
      <c r="E1323" t="s">
        <v>73</v>
      </c>
      <c r="F1323" s="1">
        <v>43774</v>
      </c>
    </row>
    <row r="1324" spans="1:6" x14ac:dyDescent="0.25">
      <c r="A1324">
        <v>6209815</v>
      </c>
      <c r="B1324" t="s">
        <v>1350</v>
      </c>
      <c r="C1324" t="str">
        <f>""</f>
        <v/>
      </c>
      <c r="D1324" t="str">
        <f>"9783110580853"</f>
        <v>9783110580853</v>
      </c>
      <c r="E1324" t="s">
        <v>73</v>
      </c>
      <c r="F1324" s="1">
        <v>43815</v>
      </c>
    </row>
    <row r="1325" spans="1:6" x14ac:dyDescent="0.25">
      <c r="A1325">
        <v>6209817</v>
      </c>
      <c r="B1325" t="s">
        <v>1351</v>
      </c>
      <c r="C1325" t="str">
        <f>""</f>
        <v/>
      </c>
      <c r="D1325" t="str">
        <f>"9783110637489"</f>
        <v>9783110637489</v>
      </c>
      <c r="E1325" t="s">
        <v>73</v>
      </c>
      <c r="F1325" s="1">
        <v>43899</v>
      </c>
    </row>
    <row r="1326" spans="1:6" x14ac:dyDescent="0.25">
      <c r="A1326">
        <v>6209824</v>
      </c>
      <c r="B1326" t="s">
        <v>1352</v>
      </c>
      <c r="C1326" t="str">
        <f>""</f>
        <v/>
      </c>
      <c r="D1326" t="str">
        <f>"9783110618594"</f>
        <v>9783110618594</v>
      </c>
      <c r="E1326" t="s">
        <v>73</v>
      </c>
      <c r="F1326" s="1">
        <v>43774</v>
      </c>
    </row>
    <row r="1327" spans="1:6" x14ac:dyDescent="0.25">
      <c r="A1327">
        <v>6209832</v>
      </c>
      <c r="B1327" t="s">
        <v>1353</v>
      </c>
      <c r="C1327" t="str">
        <f>""</f>
        <v/>
      </c>
      <c r="D1327" t="str">
        <f>"9783110614909"</f>
        <v>9783110614909</v>
      </c>
      <c r="E1327" t="s">
        <v>73</v>
      </c>
      <c r="F1327" s="1">
        <v>43787</v>
      </c>
    </row>
    <row r="1328" spans="1:6" x14ac:dyDescent="0.25">
      <c r="A1328">
        <v>6209838</v>
      </c>
      <c r="B1328" t="s">
        <v>1354</v>
      </c>
      <c r="C1328" t="str">
        <f>""</f>
        <v/>
      </c>
      <c r="D1328" t="str">
        <f>"9783110668476"</f>
        <v>9783110668476</v>
      </c>
      <c r="E1328" t="s">
        <v>73</v>
      </c>
      <c r="F1328" s="1">
        <v>43899</v>
      </c>
    </row>
    <row r="1329" spans="1:6" x14ac:dyDescent="0.25">
      <c r="A1329">
        <v>6209841</v>
      </c>
      <c r="B1329" t="s">
        <v>1355</v>
      </c>
      <c r="C1329" t="str">
        <f>""</f>
        <v/>
      </c>
      <c r="D1329" t="str">
        <f>"9783110563016"</f>
        <v>9783110563016</v>
      </c>
      <c r="E1329" t="s">
        <v>73</v>
      </c>
      <c r="F1329" s="1">
        <v>43774</v>
      </c>
    </row>
    <row r="1330" spans="1:6" x14ac:dyDescent="0.25">
      <c r="A1330">
        <v>6209844</v>
      </c>
      <c r="B1330" t="s">
        <v>1356</v>
      </c>
      <c r="C1330" t="str">
        <f>""</f>
        <v/>
      </c>
      <c r="D1330" t="str">
        <f>"9783110664416"</f>
        <v>9783110664416</v>
      </c>
      <c r="E1330" t="s">
        <v>73</v>
      </c>
      <c r="F1330" s="1">
        <v>43885</v>
      </c>
    </row>
    <row r="1331" spans="1:6" x14ac:dyDescent="0.25">
      <c r="A1331">
        <v>6209849</v>
      </c>
      <c r="B1331" t="s">
        <v>1357</v>
      </c>
      <c r="C1331" t="str">
        <f>""</f>
        <v/>
      </c>
      <c r="D1331" t="str">
        <f>"9783110677485"</f>
        <v>9783110677485</v>
      </c>
      <c r="E1331" t="s">
        <v>73</v>
      </c>
      <c r="F1331" s="1">
        <v>43927</v>
      </c>
    </row>
    <row r="1332" spans="1:6" x14ac:dyDescent="0.25">
      <c r="A1332">
        <v>6209856</v>
      </c>
      <c r="B1332" t="s">
        <v>1358</v>
      </c>
      <c r="C1332" t="str">
        <f>""</f>
        <v/>
      </c>
      <c r="D1332" t="str">
        <f>"9783110666373"</f>
        <v>9783110666373</v>
      </c>
      <c r="E1332" t="s">
        <v>73</v>
      </c>
      <c r="F1332" s="1">
        <v>43815</v>
      </c>
    </row>
    <row r="1333" spans="1:6" x14ac:dyDescent="0.25">
      <c r="A1333">
        <v>6209857</v>
      </c>
      <c r="B1333" t="s">
        <v>1359</v>
      </c>
      <c r="C1333" t="str">
        <f>""</f>
        <v/>
      </c>
      <c r="D1333" t="str">
        <f>"9783110645422"</f>
        <v>9783110645422</v>
      </c>
      <c r="E1333" t="s">
        <v>73</v>
      </c>
      <c r="F1333" s="1">
        <v>43956</v>
      </c>
    </row>
    <row r="1334" spans="1:6" x14ac:dyDescent="0.25">
      <c r="A1334">
        <v>6209862</v>
      </c>
      <c r="B1334" t="s">
        <v>1360</v>
      </c>
      <c r="C1334" t="str">
        <f>""</f>
        <v/>
      </c>
      <c r="D1334" t="str">
        <f>"9783110668780"</f>
        <v>9783110668780</v>
      </c>
      <c r="E1334" t="s">
        <v>73</v>
      </c>
      <c r="F1334" s="1">
        <v>43871</v>
      </c>
    </row>
    <row r="1335" spans="1:6" x14ac:dyDescent="0.25">
      <c r="A1335">
        <v>6209863</v>
      </c>
      <c r="B1335" t="s">
        <v>1361</v>
      </c>
      <c r="C1335" t="str">
        <f>"9783110600780"</f>
        <v>9783110600780</v>
      </c>
      <c r="D1335" t="str">
        <f>"9783110612271"</f>
        <v>9783110612271</v>
      </c>
      <c r="E1335" t="s">
        <v>73</v>
      </c>
      <c r="F1335" s="1">
        <v>43787</v>
      </c>
    </row>
    <row r="1336" spans="1:6" x14ac:dyDescent="0.25">
      <c r="A1336">
        <v>6209868</v>
      </c>
      <c r="B1336" t="s">
        <v>1362</v>
      </c>
      <c r="C1336" t="str">
        <f>""</f>
        <v/>
      </c>
      <c r="D1336" t="str">
        <f>"9783110660234"</f>
        <v>9783110660234</v>
      </c>
      <c r="E1336" t="s">
        <v>73</v>
      </c>
      <c r="F1336" s="1">
        <v>43787</v>
      </c>
    </row>
    <row r="1337" spans="1:6" x14ac:dyDescent="0.25">
      <c r="A1337">
        <v>6209869</v>
      </c>
      <c r="B1337" t="s">
        <v>1363</v>
      </c>
      <c r="C1337" t="str">
        <f>""</f>
        <v/>
      </c>
      <c r="D1337" t="str">
        <f>"9783110656220"</f>
        <v>9783110656220</v>
      </c>
      <c r="E1337" t="s">
        <v>73</v>
      </c>
      <c r="F1337" s="1">
        <v>43850</v>
      </c>
    </row>
    <row r="1338" spans="1:6" x14ac:dyDescent="0.25">
      <c r="A1338">
        <v>6209876</v>
      </c>
      <c r="B1338" t="s">
        <v>1364</v>
      </c>
      <c r="C1338" t="str">
        <f>"9783110616606"</f>
        <v>9783110616606</v>
      </c>
      <c r="D1338" t="str">
        <f>"9783110616804"</f>
        <v>9783110616804</v>
      </c>
      <c r="E1338" t="s">
        <v>73</v>
      </c>
      <c r="F1338" s="1">
        <v>43815</v>
      </c>
    </row>
    <row r="1339" spans="1:6" x14ac:dyDescent="0.25">
      <c r="A1339">
        <v>6209880</v>
      </c>
      <c r="B1339" t="s">
        <v>1365</v>
      </c>
      <c r="C1339" t="str">
        <f>""</f>
        <v/>
      </c>
      <c r="D1339" t="str">
        <f>"9783110639247"</f>
        <v>9783110639247</v>
      </c>
      <c r="E1339" t="s">
        <v>73</v>
      </c>
      <c r="F1339" s="1">
        <v>43956</v>
      </c>
    </row>
    <row r="1340" spans="1:6" x14ac:dyDescent="0.25">
      <c r="A1340">
        <v>6209890</v>
      </c>
      <c r="B1340" t="s">
        <v>1366</v>
      </c>
      <c r="C1340" t="str">
        <f>""</f>
        <v/>
      </c>
      <c r="D1340" t="str">
        <f>"9783110645989"</f>
        <v>9783110645989</v>
      </c>
      <c r="E1340" t="s">
        <v>73</v>
      </c>
      <c r="F1340" s="1">
        <v>43801</v>
      </c>
    </row>
    <row r="1341" spans="1:6" x14ac:dyDescent="0.25">
      <c r="A1341">
        <v>6209901</v>
      </c>
      <c r="B1341" t="s">
        <v>1367</v>
      </c>
      <c r="C1341" t="str">
        <f>""</f>
        <v/>
      </c>
      <c r="D1341" t="str">
        <f>"9783110669824"</f>
        <v>9783110669824</v>
      </c>
      <c r="E1341" t="s">
        <v>73</v>
      </c>
      <c r="F1341" s="1">
        <v>43850</v>
      </c>
    </row>
    <row r="1342" spans="1:6" x14ac:dyDescent="0.25">
      <c r="A1342">
        <v>6209903</v>
      </c>
      <c r="B1342" t="s">
        <v>1368</v>
      </c>
      <c r="C1342" t="str">
        <f>""</f>
        <v/>
      </c>
      <c r="D1342" t="str">
        <f>"9783110692716"</f>
        <v>9783110692716</v>
      </c>
      <c r="E1342" t="s">
        <v>73</v>
      </c>
      <c r="F1342" s="1">
        <v>43956</v>
      </c>
    </row>
    <row r="1343" spans="1:6" x14ac:dyDescent="0.25">
      <c r="A1343">
        <v>6209908</v>
      </c>
      <c r="B1343" t="s">
        <v>1369</v>
      </c>
      <c r="C1343" t="str">
        <f>""</f>
        <v/>
      </c>
      <c r="D1343" t="str">
        <f>"9783110660784"</f>
        <v>9783110660784</v>
      </c>
      <c r="E1343" t="s">
        <v>73</v>
      </c>
      <c r="F1343" s="1">
        <v>43815</v>
      </c>
    </row>
    <row r="1344" spans="1:6" x14ac:dyDescent="0.25">
      <c r="A1344">
        <v>6209911</v>
      </c>
      <c r="B1344" t="s">
        <v>1370</v>
      </c>
      <c r="C1344" t="str">
        <f>""</f>
        <v/>
      </c>
      <c r="D1344" t="str">
        <f>"9783110596588"</f>
        <v>9783110596588</v>
      </c>
      <c r="E1344" t="s">
        <v>73</v>
      </c>
      <c r="F1344" s="1">
        <v>43927</v>
      </c>
    </row>
    <row r="1345" spans="1:6" x14ac:dyDescent="0.25">
      <c r="A1345">
        <v>6209914</v>
      </c>
      <c r="B1345" t="s">
        <v>1371</v>
      </c>
      <c r="C1345" t="str">
        <f>""</f>
        <v/>
      </c>
      <c r="D1345" t="str">
        <f>"9783110590661"</f>
        <v>9783110590661</v>
      </c>
      <c r="E1345" t="s">
        <v>73</v>
      </c>
      <c r="F1345" s="1">
        <v>43913</v>
      </c>
    </row>
    <row r="1346" spans="1:6" x14ac:dyDescent="0.25">
      <c r="A1346">
        <v>6209925</v>
      </c>
      <c r="B1346" t="s">
        <v>1372</v>
      </c>
      <c r="C1346" t="str">
        <f>""</f>
        <v/>
      </c>
      <c r="D1346" t="str">
        <f>"9783110679366"</f>
        <v>9783110679366</v>
      </c>
      <c r="E1346" t="s">
        <v>73</v>
      </c>
      <c r="F1346" s="1">
        <v>43941</v>
      </c>
    </row>
    <row r="1347" spans="1:6" x14ac:dyDescent="0.25">
      <c r="A1347">
        <v>6209927</v>
      </c>
      <c r="B1347" t="s">
        <v>1373</v>
      </c>
      <c r="C1347" t="str">
        <f>""</f>
        <v/>
      </c>
      <c r="D1347" t="str">
        <f>"9783110645125"</f>
        <v>9783110645125</v>
      </c>
      <c r="E1347" t="s">
        <v>73</v>
      </c>
      <c r="F1347" s="1">
        <v>43815</v>
      </c>
    </row>
    <row r="1348" spans="1:6" x14ac:dyDescent="0.25">
      <c r="A1348">
        <v>6209931</v>
      </c>
      <c r="B1348" t="s">
        <v>1374</v>
      </c>
      <c r="C1348" t="str">
        <f>""</f>
        <v/>
      </c>
      <c r="D1348" t="str">
        <f>"9783110696479"</f>
        <v>9783110696479</v>
      </c>
      <c r="E1348" t="s">
        <v>73</v>
      </c>
      <c r="F1348" s="1">
        <v>43927</v>
      </c>
    </row>
    <row r="1349" spans="1:6" x14ac:dyDescent="0.25">
      <c r="A1349">
        <v>6213312</v>
      </c>
      <c r="B1349" t="s">
        <v>1375</v>
      </c>
      <c r="C1349" t="str">
        <f>""</f>
        <v/>
      </c>
      <c r="D1349" t="str">
        <f>"9789179298319"</f>
        <v>9789179298319</v>
      </c>
      <c r="E1349" t="s">
        <v>1268</v>
      </c>
      <c r="F1349" s="1">
        <v>43978</v>
      </c>
    </row>
    <row r="1350" spans="1:6" x14ac:dyDescent="0.25">
      <c r="A1350">
        <v>6216694</v>
      </c>
      <c r="B1350" t="s">
        <v>1376</v>
      </c>
      <c r="C1350" t="str">
        <f>"9781783749362"</f>
        <v>9781783749362</v>
      </c>
      <c r="D1350" t="str">
        <f>"9781783749379"</f>
        <v>9781783749379</v>
      </c>
      <c r="E1350" t="s">
        <v>580</v>
      </c>
      <c r="F1350" s="1">
        <v>43970</v>
      </c>
    </row>
    <row r="1351" spans="1:6" x14ac:dyDescent="0.25">
      <c r="A1351">
        <v>6231741</v>
      </c>
      <c r="B1351" t="s">
        <v>1377</v>
      </c>
      <c r="C1351" t="str">
        <f>""</f>
        <v/>
      </c>
      <c r="D1351" t="str">
        <f>"9789179298838"</f>
        <v>9789179298838</v>
      </c>
      <c r="E1351" t="s">
        <v>1268</v>
      </c>
      <c r="F1351" s="1">
        <v>43993</v>
      </c>
    </row>
    <row r="1352" spans="1:6" x14ac:dyDescent="0.25">
      <c r="A1352">
        <v>6235479</v>
      </c>
      <c r="B1352" t="s">
        <v>1378</v>
      </c>
      <c r="C1352" t="str">
        <f>"9781800640122"</f>
        <v>9781800640122</v>
      </c>
      <c r="D1352" t="str">
        <f>"9781800640139"</f>
        <v>9781800640139</v>
      </c>
      <c r="E1352" t="s">
        <v>580</v>
      </c>
      <c r="F1352" s="1">
        <v>43983</v>
      </c>
    </row>
    <row r="1353" spans="1:6" x14ac:dyDescent="0.25">
      <c r="A1353">
        <v>6235480</v>
      </c>
      <c r="B1353" t="s">
        <v>1379</v>
      </c>
      <c r="C1353" t="str">
        <f>"9781783748167"</f>
        <v>9781783748167</v>
      </c>
      <c r="D1353" t="str">
        <f>"9781783748174"</f>
        <v>9781783748174</v>
      </c>
      <c r="E1353" t="s">
        <v>580</v>
      </c>
      <c r="F1353" s="1">
        <v>43992</v>
      </c>
    </row>
    <row r="1354" spans="1:6" x14ac:dyDescent="0.25">
      <c r="A1354">
        <v>6238610</v>
      </c>
      <c r="B1354" t="s">
        <v>1380</v>
      </c>
      <c r="C1354" t="str">
        <f>""</f>
        <v/>
      </c>
      <c r="D1354" t="str">
        <f>"9789179298166"</f>
        <v>9789179298166</v>
      </c>
      <c r="E1354" t="s">
        <v>1268</v>
      </c>
      <c r="F1354" s="1">
        <v>44006</v>
      </c>
    </row>
    <row r="1355" spans="1:6" x14ac:dyDescent="0.25">
      <c r="A1355">
        <v>6252592</v>
      </c>
      <c r="B1355" t="s">
        <v>1381</v>
      </c>
      <c r="C1355" t="str">
        <f>"9789813272361"</f>
        <v>9789813272361</v>
      </c>
      <c r="D1355" t="str">
        <f>"9789813272378"</f>
        <v>9789813272378</v>
      </c>
      <c r="E1355" t="s">
        <v>1382</v>
      </c>
      <c r="F1355" s="1">
        <v>43972</v>
      </c>
    </row>
    <row r="1356" spans="1:6" x14ac:dyDescent="0.25">
      <c r="A1356">
        <v>6259007</v>
      </c>
      <c r="B1356" t="s">
        <v>1383</v>
      </c>
      <c r="C1356" t="str">
        <f>"9781783748525"</f>
        <v>9781783748525</v>
      </c>
      <c r="D1356" t="str">
        <f>"9781783748532"</f>
        <v>9781783748532</v>
      </c>
      <c r="E1356" t="s">
        <v>580</v>
      </c>
      <c r="F1356" s="1">
        <v>43987</v>
      </c>
    </row>
    <row r="1357" spans="1:6" x14ac:dyDescent="0.25">
      <c r="A1357">
        <v>6265689</v>
      </c>
      <c r="B1357" t="s">
        <v>1384</v>
      </c>
      <c r="C1357" t="str">
        <f>""</f>
        <v/>
      </c>
      <c r="D1357" t="str">
        <f>"9789179298418"</f>
        <v>9789179298418</v>
      </c>
      <c r="E1357" t="s">
        <v>1268</v>
      </c>
      <c r="F1357" s="1">
        <v>44025</v>
      </c>
    </row>
    <row r="1358" spans="1:6" x14ac:dyDescent="0.25">
      <c r="A1358">
        <v>6288248</v>
      </c>
      <c r="B1358" t="s">
        <v>1385</v>
      </c>
      <c r="C1358" t="str">
        <f>"9781783749683"</f>
        <v>9781783749683</v>
      </c>
      <c r="D1358" t="str">
        <f>"9781783749690"</f>
        <v>9781783749690</v>
      </c>
      <c r="E1358" t="s">
        <v>580</v>
      </c>
      <c r="F1358" s="1">
        <v>44035</v>
      </c>
    </row>
    <row r="1359" spans="1:6" x14ac:dyDescent="0.25">
      <c r="A1359">
        <v>6288249</v>
      </c>
      <c r="B1359" t="s">
        <v>1386</v>
      </c>
      <c r="C1359" t="str">
        <f>"9781783749249"</f>
        <v>9781783749249</v>
      </c>
      <c r="D1359" t="str">
        <f>"9781783749256"</f>
        <v>9781783749256</v>
      </c>
      <c r="E1359" t="s">
        <v>580</v>
      </c>
      <c r="F1359" s="1">
        <v>44004</v>
      </c>
    </row>
    <row r="1360" spans="1:6" x14ac:dyDescent="0.25">
      <c r="A1360">
        <v>6288250</v>
      </c>
      <c r="B1360" t="s">
        <v>1387</v>
      </c>
      <c r="C1360" t="str">
        <f>"9781800640009"</f>
        <v>9781800640009</v>
      </c>
      <c r="D1360" t="str">
        <f>"9781800640016"</f>
        <v>9781800640016</v>
      </c>
      <c r="E1360" t="s">
        <v>580</v>
      </c>
      <c r="F1360" s="1">
        <v>44004</v>
      </c>
    </row>
    <row r="1361" spans="1:6" x14ac:dyDescent="0.25">
      <c r="A1361">
        <v>6288251</v>
      </c>
      <c r="B1361" t="s">
        <v>1388</v>
      </c>
      <c r="C1361" t="str">
        <f>"9781783746941"</f>
        <v>9781783746941</v>
      </c>
      <c r="D1361" t="str">
        <f>"9781783746958"</f>
        <v>9781783746958</v>
      </c>
      <c r="E1361" t="s">
        <v>580</v>
      </c>
      <c r="F1361" s="1">
        <v>43851</v>
      </c>
    </row>
    <row r="1362" spans="1:6" x14ac:dyDescent="0.25">
      <c r="A1362">
        <v>6308648</v>
      </c>
      <c r="B1362" t="s">
        <v>1389</v>
      </c>
      <c r="C1362" t="str">
        <f>"9783030458423"</f>
        <v>9783030458423</v>
      </c>
      <c r="D1362" t="str">
        <f>"9783030458430"</f>
        <v>9783030458430</v>
      </c>
      <c r="E1362" t="s">
        <v>756</v>
      </c>
      <c r="F1362" s="1">
        <v>44061</v>
      </c>
    </row>
    <row r="1363" spans="1:6" x14ac:dyDescent="0.25">
      <c r="A1363">
        <v>6310309</v>
      </c>
      <c r="B1363" t="s">
        <v>1390</v>
      </c>
      <c r="C1363" t="str">
        <f>"9783658308391"</f>
        <v>9783658308391</v>
      </c>
      <c r="D1363" t="str">
        <f>"9783658308407"</f>
        <v>9783658308407</v>
      </c>
      <c r="E1363" t="s">
        <v>1391</v>
      </c>
      <c r="F1363" s="1">
        <v>44126</v>
      </c>
    </row>
    <row r="1364" spans="1:6" x14ac:dyDescent="0.25">
      <c r="A1364">
        <v>6310311</v>
      </c>
      <c r="B1364" t="s">
        <v>1392</v>
      </c>
      <c r="C1364" t="str">
        <f>"9783030475444"</f>
        <v>9783030475444</v>
      </c>
      <c r="D1364" t="str">
        <f>"9783030475451"</f>
        <v>9783030475451</v>
      </c>
      <c r="E1364" t="s">
        <v>756</v>
      </c>
      <c r="F1364" s="1">
        <v>44062</v>
      </c>
    </row>
    <row r="1365" spans="1:6" x14ac:dyDescent="0.25">
      <c r="A1365">
        <v>6310312</v>
      </c>
      <c r="B1365" t="s">
        <v>1393</v>
      </c>
      <c r="C1365" t="str">
        <f>"9783030414795"</f>
        <v>9783030414795</v>
      </c>
      <c r="D1365" t="str">
        <f>"9783030414801"</f>
        <v>9783030414801</v>
      </c>
      <c r="E1365" t="s">
        <v>756</v>
      </c>
      <c r="F1365" s="1">
        <v>44062</v>
      </c>
    </row>
    <row r="1366" spans="1:6" x14ac:dyDescent="0.25">
      <c r="A1366">
        <v>6310316</v>
      </c>
      <c r="B1366" t="s">
        <v>1394</v>
      </c>
      <c r="C1366" t="str">
        <f>"9783030446161"</f>
        <v>9783030446161</v>
      </c>
      <c r="D1366" t="str">
        <f>"9783030446178"</f>
        <v>9783030446178</v>
      </c>
      <c r="E1366" t="s">
        <v>756</v>
      </c>
      <c r="F1366" s="1">
        <v>44062</v>
      </c>
    </row>
    <row r="1367" spans="1:6" x14ac:dyDescent="0.25">
      <c r="A1367">
        <v>6310338</v>
      </c>
      <c r="B1367" t="s">
        <v>1395</v>
      </c>
      <c r="C1367" t="str">
        <f>"9783030547943"</f>
        <v>9783030547943</v>
      </c>
      <c r="D1367" t="str">
        <f>"9783030547950"</f>
        <v>9783030547950</v>
      </c>
      <c r="E1367" t="s">
        <v>756</v>
      </c>
      <c r="F1367" s="1">
        <v>44062</v>
      </c>
    </row>
    <row r="1368" spans="1:6" x14ac:dyDescent="0.25">
      <c r="A1368">
        <v>6310495</v>
      </c>
      <c r="B1368" t="s">
        <v>1396</v>
      </c>
      <c r="C1368" t="str">
        <f>"9783319442327"</f>
        <v>9783319442327</v>
      </c>
      <c r="D1368" t="str">
        <f>"9783319442341"</f>
        <v>9783319442341</v>
      </c>
      <c r="E1368" t="s">
        <v>756</v>
      </c>
      <c r="F1368" s="1">
        <v>42804</v>
      </c>
    </row>
    <row r="1369" spans="1:6" x14ac:dyDescent="0.25">
      <c r="A1369">
        <v>6311257</v>
      </c>
      <c r="B1369" t="s">
        <v>1397</v>
      </c>
      <c r="C1369" t="str">
        <f>"9783319294384"</f>
        <v>9783319294384</v>
      </c>
      <c r="D1369" t="str">
        <f>"9783319294391"</f>
        <v>9783319294391</v>
      </c>
      <c r="E1369" t="s">
        <v>756</v>
      </c>
      <c r="F1369" s="1">
        <v>42533</v>
      </c>
    </row>
    <row r="1370" spans="1:6" x14ac:dyDescent="0.25">
      <c r="A1370">
        <v>6313878</v>
      </c>
      <c r="B1370" t="s">
        <v>1398</v>
      </c>
      <c r="C1370" t="str">
        <f>"9783030481254"</f>
        <v>9783030481254</v>
      </c>
      <c r="D1370" t="str">
        <f>"9783030481261"</f>
        <v>9783030481261</v>
      </c>
      <c r="E1370" t="s">
        <v>756</v>
      </c>
      <c r="F1370" s="1">
        <v>44064</v>
      </c>
    </row>
    <row r="1371" spans="1:6" x14ac:dyDescent="0.25">
      <c r="A1371">
        <v>6313942</v>
      </c>
      <c r="B1371" t="s">
        <v>1399</v>
      </c>
      <c r="C1371" t="str">
        <f>"9783658314880"</f>
        <v>9783658314880</v>
      </c>
      <c r="D1371" t="str">
        <f>"9783658314897"</f>
        <v>9783658314897</v>
      </c>
      <c r="E1371" t="s">
        <v>1391</v>
      </c>
      <c r="F1371" s="1">
        <v>44064</v>
      </c>
    </row>
    <row r="1372" spans="1:6" x14ac:dyDescent="0.25">
      <c r="A1372">
        <v>6314336</v>
      </c>
      <c r="B1372" t="s">
        <v>1400</v>
      </c>
      <c r="C1372" t="str">
        <f>"9784431554677"</f>
        <v>9784431554677</v>
      </c>
      <c r="D1372" t="str">
        <f>"9784431554684"</f>
        <v>9784431554684</v>
      </c>
      <c r="E1372" t="s">
        <v>1401</v>
      </c>
      <c r="F1372" s="1">
        <v>42101</v>
      </c>
    </row>
    <row r="1373" spans="1:6" x14ac:dyDescent="0.25">
      <c r="A1373">
        <v>6315606</v>
      </c>
      <c r="B1373" t="s">
        <v>1402</v>
      </c>
      <c r="C1373" t="str">
        <f>"9783319965192"</f>
        <v>9783319965192</v>
      </c>
      <c r="D1373" t="str">
        <f>"9783319965208"</f>
        <v>9783319965208</v>
      </c>
      <c r="E1373" t="s">
        <v>756</v>
      </c>
      <c r="F1373" s="1">
        <v>43315</v>
      </c>
    </row>
    <row r="1374" spans="1:6" x14ac:dyDescent="0.25">
      <c r="A1374">
        <v>6317271</v>
      </c>
      <c r="B1374" t="s">
        <v>1403</v>
      </c>
      <c r="C1374" t="str">
        <f>"9783030472283"</f>
        <v>9783030472283</v>
      </c>
      <c r="D1374" t="str">
        <f>"9783030472290"</f>
        <v>9783030472290</v>
      </c>
      <c r="E1374" t="s">
        <v>756</v>
      </c>
      <c r="F1374" s="1">
        <v>44065</v>
      </c>
    </row>
    <row r="1375" spans="1:6" x14ac:dyDescent="0.25">
      <c r="A1375">
        <v>6317371</v>
      </c>
      <c r="B1375" t="s">
        <v>1404</v>
      </c>
      <c r="C1375" t="str">
        <f>""</f>
        <v/>
      </c>
      <c r="D1375" t="str">
        <f>"9789179298371"</f>
        <v>9789179298371</v>
      </c>
      <c r="E1375" t="s">
        <v>1268</v>
      </c>
      <c r="F1375" s="1">
        <v>44063</v>
      </c>
    </row>
    <row r="1376" spans="1:6" x14ac:dyDescent="0.25">
      <c r="A1376">
        <v>6317372</v>
      </c>
      <c r="B1376" t="s">
        <v>1405</v>
      </c>
      <c r="C1376" t="str">
        <f>""</f>
        <v/>
      </c>
      <c r="D1376" t="str">
        <f>"9789179298753"</f>
        <v>9789179298753</v>
      </c>
      <c r="E1376" t="s">
        <v>1268</v>
      </c>
      <c r="F1376" s="1">
        <v>44063</v>
      </c>
    </row>
    <row r="1377" spans="1:6" x14ac:dyDescent="0.25">
      <c r="A1377">
        <v>6317373</v>
      </c>
      <c r="B1377" t="s">
        <v>1406</v>
      </c>
      <c r="C1377" t="str">
        <f>""</f>
        <v/>
      </c>
      <c r="D1377" t="str">
        <f>"9789179298180"</f>
        <v>9789179298180</v>
      </c>
      <c r="E1377" t="s">
        <v>1268</v>
      </c>
      <c r="F1377" s="1">
        <v>43983</v>
      </c>
    </row>
    <row r="1378" spans="1:6" x14ac:dyDescent="0.25">
      <c r="A1378">
        <v>6317374</v>
      </c>
      <c r="B1378" t="s">
        <v>1407</v>
      </c>
      <c r="C1378" t="str">
        <f>""</f>
        <v/>
      </c>
      <c r="D1378" t="str">
        <f>"9789179298821"</f>
        <v>9789179298821</v>
      </c>
      <c r="E1378" t="s">
        <v>1268</v>
      </c>
      <c r="F1378" s="1">
        <v>44056</v>
      </c>
    </row>
    <row r="1379" spans="1:6" x14ac:dyDescent="0.25">
      <c r="A1379">
        <v>6317375</v>
      </c>
      <c r="B1379" t="s">
        <v>1408</v>
      </c>
      <c r="C1379" t="str">
        <f>""</f>
        <v/>
      </c>
      <c r="D1379" t="str">
        <f>"9789179298258"</f>
        <v>9789179298258</v>
      </c>
      <c r="E1379" t="s">
        <v>1268</v>
      </c>
      <c r="F1379" s="1">
        <v>44061</v>
      </c>
    </row>
    <row r="1380" spans="1:6" x14ac:dyDescent="0.25">
      <c r="A1380">
        <v>6317376</v>
      </c>
      <c r="B1380" t="s">
        <v>1409</v>
      </c>
      <c r="C1380" t="str">
        <f>""</f>
        <v/>
      </c>
      <c r="D1380" t="str">
        <f>"9789179298388"</f>
        <v>9789179298388</v>
      </c>
      <c r="E1380" t="s">
        <v>1268</v>
      </c>
      <c r="F1380" s="1">
        <v>44052</v>
      </c>
    </row>
    <row r="1381" spans="1:6" x14ac:dyDescent="0.25">
      <c r="A1381">
        <v>6320909</v>
      </c>
      <c r="B1381" t="s">
        <v>1410</v>
      </c>
      <c r="C1381" t="str">
        <f>"9783030510183"</f>
        <v>9783030510183</v>
      </c>
      <c r="D1381" t="str">
        <f>"9783030510190"</f>
        <v>9783030510190</v>
      </c>
      <c r="E1381" t="s">
        <v>756</v>
      </c>
      <c r="F1381" s="1">
        <v>44071</v>
      </c>
    </row>
    <row r="1382" spans="1:6" x14ac:dyDescent="0.25">
      <c r="A1382">
        <v>6320928</v>
      </c>
      <c r="B1382" t="s">
        <v>1411</v>
      </c>
      <c r="C1382" t="str">
        <f>"9783030431976"</f>
        <v>9783030431976</v>
      </c>
      <c r="D1382" t="str">
        <f>"9783030431983"</f>
        <v>9783030431983</v>
      </c>
      <c r="E1382" t="s">
        <v>756</v>
      </c>
      <c r="F1382" s="1">
        <v>44124</v>
      </c>
    </row>
    <row r="1383" spans="1:6" x14ac:dyDescent="0.25">
      <c r="A1383">
        <v>6321296</v>
      </c>
      <c r="B1383" t="s">
        <v>1412</v>
      </c>
      <c r="C1383" t="str">
        <f>"9783030505547"</f>
        <v>9783030505547</v>
      </c>
      <c r="D1383" t="str">
        <f>"9783030505554"</f>
        <v>9783030505554</v>
      </c>
      <c r="E1383" t="s">
        <v>756</v>
      </c>
      <c r="F1383" s="1">
        <v>44072</v>
      </c>
    </row>
    <row r="1384" spans="1:6" x14ac:dyDescent="0.25">
      <c r="A1384">
        <v>6321302</v>
      </c>
      <c r="B1384" t="s">
        <v>1413</v>
      </c>
      <c r="C1384" t="str">
        <f>"9783030562816"</f>
        <v>9783030562816</v>
      </c>
      <c r="D1384" t="str">
        <f>"9783030562823"</f>
        <v>9783030562823</v>
      </c>
      <c r="E1384" t="s">
        <v>756</v>
      </c>
      <c r="F1384" s="1">
        <v>44071</v>
      </c>
    </row>
    <row r="1385" spans="1:6" x14ac:dyDescent="0.25">
      <c r="A1385">
        <v>6321303</v>
      </c>
      <c r="B1385" t="s">
        <v>1414</v>
      </c>
      <c r="C1385" t="str">
        <f>"9783030508401"</f>
        <v>9783030508401</v>
      </c>
      <c r="D1385" t="str">
        <f>"9783030508418"</f>
        <v>9783030508418</v>
      </c>
      <c r="E1385" t="s">
        <v>756</v>
      </c>
      <c r="F1385" s="1">
        <v>44072</v>
      </c>
    </row>
    <row r="1386" spans="1:6" x14ac:dyDescent="0.25">
      <c r="A1386">
        <v>6321305</v>
      </c>
      <c r="B1386" t="s">
        <v>1415</v>
      </c>
      <c r="C1386" t="str">
        <f>"9783662610329"</f>
        <v>9783662610329</v>
      </c>
      <c r="D1386" t="str">
        <f>"9783662610336"</f>
        <v>9783662610336</v>
      </c>
      <c r="E1386" t="s">
        <v>1416</v>
      </c>
      <c r="F1386" s="1">
        <v>44072</v>
      </c>
    </row>
    <row r="1387" spans="1:6" x14ac:dyDescent="0.25">
      <c r="A1387">
        <v>6321945</v>
      </c>
      <c r="B1387" t="s">
        <v>1417</v>
      </c>
      <c r="C1387" t="str">
        <f>""</f>
        <v/>
      </c>
      <c r="D1387" t="str">
        <f>"9789179298197"</f>
        <v>9789179298197</v>
      </c>
      <c r="E1387" t="s">
        <v>1268</v>
      </c>
      <c r="F1387" s="1">
        <v>44071</v>
      </c>
    </row>
    <row r="1388" spans="1:6" x14ac:dyDescent="0.25">
      <c r="A1388">
        <v>6321946</v>
      </c>
      <c r="B1388" t="s">
        <v>1418</v>
      </c>
      <c r="C1388" t="str">
        <f>""</f>
        <v/>
      </c>
      <c r="D1388" t="str">
        <f>"9789179298227"</f>
        <v>9789179298227</v>
      </c>
      <c r="E1388" t="s">
        <v>1268</v>
      </c>
      <c r="F1388" s="1">
        <v>44053</v>
      </c>
    </row>
    <row r="1389" spans="1:6" x14ac:dyDescent="0.25">
      <c r="A1389">
        <v>6321947</v>
      </c>
      <c r="B1389" t="s">
        <v>1419</v>
      </c>
      <c r="C1389" t="str">
        <f>""</f>
        <v/>
      </c>
      <c r="D1389" t="str">
        <f>"9789179298289"</f>
        <v>9789179298289</v>
      </c>
      <c r="E1389" t="s">
        <v>1268</v>
      </c>
      <c r="F1389" s="1">
        <v>44013</v>
      </c>
    </row>
    <row r="1390" spans="1:6" x14ac:dyDescent="0.25">
      <c r="A1390">
        <v>6321948</v>
      </c>
      <c r="B1390" t="s">
        <v>1420</v>
      </c>
      <c r="C1390" t="str">
        <f>""</f>
        <v/>
      </c>
      <c r="D1390" t="str">
        <f>"9789179297954"</f>
        <v>9789179297954</v>
      </c>
      <c r="E1390" t="s">
        <v>1268</v>
      </c>
      <c r="F1390" s="1">
        <v>44067</v>
      </c>
    </row>
    <row r="1391" spans="1:6" x14ac:dyDescent="0.25">
      <c r="A1391">
        <v>6331579</v>
      </c>
      <c r="B1391" t="s">
        <v>1421</v>
      </c>
      <c r="C1391" t="str">
        <f>"9783658313074"</f>
        <v>9783658313074</v>
      </c>
      <c r="D1391" t="str">
        <f>"9783658313081"</f>
        <v>9783658313081</v>
      </c>
      <c r="E1391" t="s">
        <v>1391</v>
      </c>
      <c r="F1391" s="1">
        <v>44129</v>
      </c>
    </row>
    <row r="1392" spans="1:6" x14ac:dyDescent="0.25">
      <c r="A1392">
        <v>6331586</v>
      </c>
      <c r="B1392" t="s">
        <v>1422</v>
      </c>
      <c r="C1392" t="str">
        <f>"9783030382063"</f>
        <v>9783030382063</v>
      </c>
      <c r="D1392" t="str">
        <f>"9783030382070"</f>
        <v>9783030382070</v>
      </c>
      <c r="E1392" t="s">
        <v>756</v>
      </c>
      <c r="F1392" s="1">
        <v>44103</v>
      </c>
    </row>
    <row r="1393" spans="1:6" x14ac:dyDescent="0.25">
      <c r="A1393">
        <v>6331588</v>
      </c>
      <c r="B1393" t="s">
        <v>1423</v>
      </c>
      <c r="C1393" t="str">
        <f>"9783662614532"</f>
        <v>9783662614532</v>
      </c>
      <c r="D1393" t="str">
        <f>"9783662614549"</f>
        <v>9783662614549</v>
      </c>
      <c r="E1393" t="s">
        <v>1416</v>
      </c>
      <c r="F1393" s="1">
        <v>44076</v>
      </c>
    </row>
    <row r="1394" spans="1:6" x14ac:dyDescent="0.25">
      <c r="A1394">
        <v>6331612</v>
      </c>
      <c r="B1394" t="s">
        <v>1424</v>
      </c>
      <c r="C1394" t="str">
        <f>"9789811555534"</f>
        <v>9789811555534</v>
      </c>
      <c r="D1394" t="str">
        <f>"9789811555541"</f>
        <v>9789811555541</v>
      </c>
      <c r="E1394" t="s">
        <v>1177</v>
      </c>
      <c r="F1394" s="1">
        <v>44076</v>
      </c>
    </row>
    <row r="1395" spans="1:6" x14ac:dyDescent="0.25">
      <c r="A1395">
        <v>6331614</v>
      </c>
      <c r="B1395" t="s">
        <v>1425</v>
      </c>
      <c r="C1395" t="str">
        <f>"9783658313210"</f>
        <v>9783658313210</v>
      </c>
      <c r="D1395" t="str">
        <f>"9783658313227"</f>
        <v>9783658313227</v>
      </c>
      <c r="E1395" t="s">
        <v>1391</v>
      </c>
      <c r="F1395" s="1">
        <v>44128</v>
      </c>
    </row>
    <row r="1396" spans="1:6" x14ac:dyDescent="0.25">
      <c r="A1396">
        <v>6331615</v>
      </c>
      <c r="B1396" t="s">
        <v>1426</v>
      </c>
      <c r="C1396" t="str">
        <f>"9783030353179"</f>
        <v>9783030353179</v>
      </c>
      <c r="D1396" t="str">
        <f>"9783030353186"</f>
        <v>9783030353186</v>
      </c>
      <c r="E1396" t="s">
        <v>756</v>
      </c>
      <c r="F1396" s="1">
        <v>44135</v>
      </c>
    </row>
    <row r="1397" spans="1:6" x14ac:dyDescent="0.25">
      <c r="A1397">
        <v>6331621</v>
      </c>
      <c r="B1397" t="s">
        <v>1427</v>
      </c>
      <c r="C1397" t="str">
        <f>"9783662613610"</f>
        <v>9783662613610</v>
      </c>
      <c r="D1397" t="str">
        <f>"9783662613627"</f>
        <v>9783662613627</v>
      </c>
      <c r="E1397" t="s">
        <v>1416</v>
      </c>
      <c r="F1397" s="1">
        <v>44075</v>
      </c>
    </row>
    <row r="1398" spans="1:6" x14ac:dyDescent="0.25">
      <c r="A1398">
        <v>6331638</v>
      </c>
      <c r="B1398" t="s">
        <v>1428</v>
      </c>
      <c r="C1398" t="str">
        <f>"9783030360702"</f>
        <v>9783030360702</v>
      </c>
      <c r="D1398" t="str">
        <f>"9783030360719"</f>
        <v>9783030360719</v>
      </c>
      <c r="E1398" t="s">
        <v>756</v>
      </c>
      <c r="F1398" s="1">
        <v>44076</v>
      </c>
    </row>
    <row r="1399" spans="1:6" x14ac:dyDescent="0.25">
      <c r="A1399">
        <v>6335317</v>
      </c>
      <c r="B1399" t="s">
        <v>1429</v>
      </c>
      <c r="C1399" t="str">
        <f>"9783662620120"</f>
        <v>9783662620120</v>
      </c>
      <c r="D1399" t="str">
        <f>"9783662620137"</f>
        <v>9783662620137</v>
      </c>
      <c r="E1399" t="s">
        <v>1416</v>
      </c>
      <c r="F1399" s="1">
        <v>44077</v>
      </c>
    </row>
    <row r="1400" spans="1:6" x14ac:dyDescent="0.25">
      <c r="A1400">
        <v>6335319</v>
      </c>
      <c r="B1400" t="s">
        <v>1430</v>
      </c>
      <c r="C1400" t="str">
        <f>"9783030452155"</f>
        <v>9783030452155</v>
      </c>
      <c r="D1400" t="str">
        <f>"9783030452162"</f>
        <v>9783030452162</v>
      </c>
      <c r="E1400" t="s">
        <v>756</v>
      </c>
      <c r="F1400" s="1">
        <v>44077</v>
      </c>
    </row>
    <row r="1401" spans="1:6" x14ac:dyDescent="0.25">
      <c r="A1401">
        <v>6336113</v>
      </c>
      <c r="B1401" t="s">
        <v>1431</v>
      </c>
      <c r="C1401" t="str">
        <f>"9781478008835"</f>
        <v>9781478008835</v>
      </c>
      <c r="D1401" t="str">
        <f>"9781478012313"</f>
        <v>9781478012313</v>
      </c>
      <c r="E1401" t="s">
        <v>174</v>
      </c>
      <c r="F1401" s="1">
        <v>44113</v>
      </c>
    </row>
    <row r="1402" spans="1:6" x14ac:dyDescent="0.25">
      <c r="A1402">
        <v>6336115</v>
      </c>
      <c r="B1402" t="s">
        <v>1432</v>
      </c>
      <c r="C1402" t="str">
        <f>"9781478009818"</f>
        <v>9781478009818</v>
      </c>
      <c r="D1402" t="str">
        <f>"9781478012405"</f>
        <v>9781478012405</v>
      </c>
      <c r="E1402" t="s">
        <v>174</v>
      </c>
      <c r="F1402" s="1">
        <v>44106</v>
      </c>
    </row>
    <row r="1403" spans="1:6" x14ac:dyDescent="0.25">
      <c r="A1403">
        <v>6336345</v>
      </c>
      <c r="B1403" t="s">
        <v>1433</v>
      </c>
      <c r="C1403" t="str">
        <f>"9783030530808"</f>
        <v>9783030530808</v>
      </c>
      <c r="D1403" t="str">
        <f>"9783030530815"</f>
        <v>9783030530815</v>
      </c>
      <c r="E1403" t="s">
        <v>756</v>
      </c>
      <c r="F1403" s="1">
        <v>44078</v>
      </c>
    </row>
    <row r="1404" spans="1:6" x14ac:dyDescent="0.25">
      <c r="A1404">
        <v>6336388</v>
      </c>
      <c r="B1404" t="s">
        <v>1434</v>
      </c>
      <c r="C1404" t="str">
        <f>"9783030526726"</f>
        <v>9783030526726</v>
      </c>
      <c r="D1404" t="str">
        <f>"9783030526733"</f>
        <v>9783030526733</v>
      </c>
      <c r="E1404" t="s">
        <v>756</v>
      </c>
      <c r="F1404" s="1">
        <v>44078</v>
      </c>
    </row>
    <row r="1405" spans="1:6" x14ac:dyDescent="0.25">
      <c r="A1405">
        <v>6340250</v>
      </c>
      <c r="B1405" t="s">
        <v>1435</v>
      </c>
      <c r="C1405" t="str">
        <f>"9783030581466"</f>
        <v>9783030581466</v>
      </c>
      <c r="D1405" t="str">
        <f>"9783030581473"</f>
        <v>9783030581473</v>
      </c>
      <c r="E1405" t="s">
        <v>756</v>
      </c>
      <c r="F1405" s="1">
        <v>44079</v>
      </c>
    </row>
    <row r="1406" spans="1:6" x14ac:dyDescent="0.25">
      <c r="A1406">
        <v>6340287</v>
      </c>
      <c r="B1406" t="s">
        <v>1436</v>
      </c>
      <c r="C1406" t="str">
        <f>""</f>
        <v/>
      </c>
      <c r="D1406" t="str">
        <f>"9789179298173"</f>
        <v>9789179298173</v>
      </c>
      <c r="E1406" t="s">
        <v>1268</v>
      </c>
      <c r="F1406" s="1">
        <v>44063</v>
      </c>
    </row>
    <row r="1407" spans="1:6" x14ac:dyDescent="0.25">
      <c r="A1407">
        <v>6340288</v>
      </c>
      <c r="B1407" t="s">
        <v>1437</v>
      </c>
      <c r="C1407" t="str">
        <f>""</f>
        <v/>
      </c>
      <c r="D1407" t="str">
        <f>"9789179298340"</f>
        <v>9789179298340</v>
      </c>
      <c r="E1407" t="s">
        <v>1268</v>
      </c>
      <c r="F1407" s="1">
        <v>44078</v>
      </c>
    </row>
    <row r="1408" spans="1:6" x14ac:dyDescent="0.25">
      <c r="A1408">
        <v>6340289</v>
      </c>
      <c r="B1408" t="s">
        <v>1438</v>
      </c>
      <c r="C1408" t="str">
        <f>""</f>
        <v/>
      </c>
      <c r="D1408" t="str">
        <f>"9789179297916"</f>
        <v>9789179297916</v>
      </c>
      <c r="E1408" t="s">
        <v>1268</v>
      </c>
      <c r="F1408" s="1">
        <v>44075</v>
      </c>
    </row>
    <row r="1409" spans="1:6" x14ac:dyDescent="0.25">
      <c r="A1409">
        <v>6340291</v>
      </c>
      <c r="B1409" t="s">
        <v>1439</v>
      </c>
      <c r="C1409" t="str">
        <f>""</f>
        <v/>
      </c>
      <c r="D1409" t="str">
        <f>"9789179298296"</f>
        <v>9789179298296</v>
      </c>
      <c r="E1409" t="s">
        <v>1268</v>
      </c>
      <c r="F1409" s="1">
        <v>44060</v>
      </c>
    </row>
    <row r="1410" spans="1:6" x14ac:dyDescent="0.25">
      <c r="A1410">
        <v>6341113</v>
      </c>
      <c r="B1410" t="s">
        <v>1440</v>
      </c>
      <c r="C1410" t="str">
        <f>"9783030484842"</f>
        <v>9783030484842</v>
      </c>
      <c r="D1410" t="str">
        <f>"9783030484859"</f>
        <v>9783030484859</v>
      </c>
      <c r="E1410" t="s">
        <v>756</v>
      </c>
      <c r="F1410" s="1">
        <v>44079</v>
      </c>
    </row>
    <row r="1411" spans="1:6" x14ac:dyDescent="0.25">
      <c r="A1411">
        <v>6348692</v>
      </c>
      <c r="B1411" t="s">
        <v>1441</v>
      </c>
      <c r="C1411" t="str">
        <f>""</f>
        <v/>
      </c>
      <c r="D1411" t="str">
        <f>"9789179298623"</f>
        <v>9789179298623</v>
      </c>
      <c r="E1411" t="s">
        <v>1268</v>
      </c>
      <c r="F1411" s="1">
        <v>44083</v>
      </c>
    </row>
    <row r="1412" spans="1:6" x14ac:dyDescent="0.25">
      <c r="A1412">
        <v>6348693</v>
      </c>
      <c r="B1412" t="s">
        <v>1442</v>
      </c>
      <c r="C1412" t="str">
        <f>""</f>
        <v/>
      </c>
      <c r="D1412" t="str">
        <f>"9789179297886"</f>
        <v>9789179297886</v>
      </c>
      <c r="E1412" t="s">
        <v>1268</v>
      </c>
      <c r="F1412" s="1">
        <v>44085</v>
      </c>
    </row>
    <row r="1413" spans="1:6" x14ac:dyDescent="0.25">
      <c r="A1413">
        <v>6348694</v>
      </c>
      <c r="B1413" t="s">
        <v>1443</v>
      </c>
      <c r="C1413" t="str">
        <f>""</f>
        <v/>
      </c>
      <c r="D1413" t="str">
        <f>"9789179298081"</f>
        <v>9789179298081</v>
      </c>
      <c r="E1413" t="s">
        <v>1268</v>
      </c>
      <c r="F1413" s="1">
        <v>44011</v>
      </c>
    </row>
    <row r="1414" spans="1:6" x14ac:dyDescent="0.25">
      <c r="A1414">
        <v>6348695</v>
      </c>
      <c r="B1414" t="s">
        <v>1444</v>
      </c>
      <c r="C1414" t="str">
        <f>""</f>
        <v/>
      </c>
      <c r="D1414" t="str">
        <f>"9789179297947"</f>
        <v>9789179297947</v>
      </c>
      <c r="E1414" t="s">
        <v>1268</v>
      </c>
      <c r="F1414" s="1">
        <v>44067</v>
      </c>
    </row>
    <row r="1415" spans="1:6" x14ac:dyDescent="0.25">
      <c r="A1415">
        <v>6350821</v>
      </c>
      <c r="B1415" t="s">
        <v>1445</v>
      </c>
      <c r="C1415" t="str">
        <f>"9783030449780"</f>
        <v>9783030449780</v>
      </c>
      <c r="D1415" t="str">
        <f>"9783030449797"</f>
        <v>9783030449797</v>
      </c>
      <c r="E1415" t="s">
        <v>756</v>
      </c>
      <c r="F1415" s="1">
        <v>44089</v>
      </c>
    </row>
    <row r="1416" spans="1:6" x14ac:dyDescent="0.25">
      <c r="A1416">
        <v>6350855</v>
      </c>
      <c r="B1416" t="s">
        <v>1446</v>
      </c>
      <c r="C1416" t="str">
        <f>"9783030528720"</f>
        <v>9783030528720</v>
      </c>
      <c r="D1416" t="str">
        <f>"9783030528737"</f>
        <v>9783030528737</v>
      </c>
      <c r="E1416" t="s">
        <v>756</v>
      </c>
      <c r="F1416" s="1">
        <v>44089</v>
      </c>
    </row>
    <row r="1417" spans="1:6" x14ac:dyDescent="0.25">
      <c r="A1417">
        <v>6351026</v>
      </c>
      <c r="B1417" t="s">
        <v>1447</v>
      </c>
      <c r="C1417" t="str">
        <f>"9781783747337"</f>
        <v>9781783747337</v>
      </c>
      <c r="D1417" t="str">
        <f>"9781783747344"</f>
        <v>9781783747344</v>
      </c>
      <c r="E1417" t="s">
        <v>580</v>
      </c>
      <c r="F1417" s="1">
        <v>44078</v>
      </c>
    </row>
    <row r="1418" spans="1:6" x14ac:dyDescent="0.25">
      <c r="A1418">
        <v>6351027</v>
      </c>
      <c r="B1418" t="s">
        <v>1448</v>
      </c>
      <c r="C1418" t="str">
        <f>"9781800640184"</f>
        <v>9781800640184</v>
      </c>
      <c r="D1418" t="str">
        <f>"9781800640191"</f>
        <v>9781800640191</v>
      </c>
      <c r="E1418" t="s">
        <v>580</v>
      </c>
      <c r="F1418" s="1">
        <v>44074</v>
      </c>
    </row>
    <row r="1419" spans="1:6" x14ac:dyDescent="0.25">
      <c r="A1419">
        <v>6352082</v>
      </c>
      <c r="B1419" t="s">
        <v>1449</v>
      </c>
      <c r="C1419" t="str">
        <f>"9781478008842"</f>
        <v>9781478008842</v>
      </c>
      <c r="D1419" t="str">
        <f>"9781478012320"</f>
        <v>9781478012320</v>
      </c>
      <c r="E1419" t="s">
        <v>174</v>
      </c>
      <c r="F1419" s="1">
        <v>44120</v>
      </c>
    </row>
    <row r="1420" spans="1:6" x14ac:dyDescent="0.25">
      <c r="A1420">
        <v>6352741</v>
      </c>
      <c r="B1420" t="s">
        <v>1450</v>
      </c>
      <c r="C1420" t="str">
        <f>"9789811569630"</f>
        <v>9789811569630</v>
      </c>
      <c r="D1420" t="str">
        <f>"9789811569647"</f>
        <v>9789811569647</v>
      </c>
      <c r="E1420" t="s">
        <v>1177</v>
      </c>
      <c r="F1420" s="1">
        <v>44092</v>
      </c>
    </row>
    <row r="1421" spans="1:6" x14ac:dyDescent="0.25">
      <c r="A1421">
        <v>6352749</v>
      </c>
      <c r="B1421" t="s">
        <v>1451</v>
      </c>
      <c r="C1421" t="str">
        <f>"9783030511883"</f>
        <v>9783030511883</v>
      </c>
      <c r="D1421" t="str">
        <f>"9783030511890"</f>
        <v>9783030511890</v>
      </c>
      <c r="E1421" t="s">
        <v>756</v>
      </c>
      <c r="F1421" s="1">
        <v>44092</v>
      </c>
    </row>
    <row r="1422" spans="1:6" x14ac:dyDescent="0.25">
      <c r="A1422">
        <v>6352766</v>
      </c>
      <c r="B1422" t="s">
        <v>1452</v>
      </c>
      <c r="C1422" t="str">
        <f>"9783030499198"</f>
        <v>9783030499198</v>
      </c>
      <c r="D1422" t="str">
        <f>"9783030499204"</f>
        <v>9783030499204</v>
      </c>
      <c r="E1422" t="s">
        <v>756</v>
      </c>
      <c r="F1422" s="1">
        <v>44092</v>
      </c>
    </row>
    <row r="1423" spans="1:6" x14ac:dyDescent="0.25">
      <c r="A1423">
        <v>6353538</v>
      </c>
      <c r="B1423" t="s">
        <v>1453</v>
      </c>
      <c r="C1423" t="str">
        <f>""</f>
        <v/>
      </c>
      <c r="D1423" t="str">
        <f>"9789179297848"</f>
        <v>9789179297848</v>
      </c>
      <c r="E1423" t="s">
        <v>1268</v>
      </c>
      <c r="F1423" s="1">
        <v>44088</v>
      </c>
    </row>
    <row r="1424" spans="1:6" x14ac:dyDescent="0.25">
      <c r="A1424">
        <v>6353540</v>
      </c>
      <c r="B1424" t="s">
        <v>1454</v>
      </c>
      <c r="C1424" t="str">
        <f>""</f>
        <v/>
      </c>
      <c r="D1424" t="str">
        <f>"9789179298005"</f>
        <v>9789179298005</v>
      </c>
      <c r="E1424" t="s">
        <v>1268</v>
      </c>
      <c r="F1424" s="1">
        <v>44090</v>
      </c>
    </row>
    <row r="1425" spans="1:6" x14ac:dyDescent="0.25">
      <c r="A1425">
        <v>6353541</v>
      </c>
      <c r="B1425" t="s">
        <v>1455</v>
      </c>
      <c r="C1425" t="str">
        <f>""</f>
        <v/>
      </c>
      <c r="D1425" t="str">
        <f>"9789179298135"</f>
        <v>9789179298135</v>
      </c>
      <c r="E1425" t="s">
        <v>1268</v>
      </c>
      <c r="F1425" s="1">
        <v>44089</v>
      </c>
    </row>
    <row r="1426" spans="1:6" x14ac:dyDescent="0.25">
      <c r="A1426">
        <v>6353542</v>
      </c>
      <c r="B1426" t="s">
        <v>1456</v>
      </c>
      <c r="C1426" t="str">
        <f>""</f>
        <v/>
      </c>
      <c r="D1426" t="str">
        <f>"9789179297978"</f>
        <v>9789179297978</v>
      </c>
      <c r="E1426" t="s">
        <v>1268</v>
      </c>
      <c r="F1426" s="1">
        <v>44081</v>
      </c>
    </row>
    <row r="1427" spans="1:6" x14ac:dyDescent="0.25">
      <c r="A1427">
        <v>6354371</v>
      </c>
      <c r="B1427" t="s">
        <v>1457</v>
      </c>
      <c r="C1427" t="str">
        <f>"9789401772204"</f>
        <v>9789401772204</v>
      </c>
      <c r="D1427" t="str">
        <f>"9789401772211"</f>
        <v>9789401772211</v>
      </c>
      <c r="E1427" t="s">
        <v>1458</v>
      </c>
      <c r="F1427" s="1">
        <v>42209</v>
      </c>
    </row>
    <row r="1428" spans="1:6" x14ac:dyDescent="0.25">
      <c r="A1428">
        <v>6355554</v>
      </c>
      <c r="B1428" t="s">
        <v>1459</v>
      </c>
      <c r="C1428" t="str">
        <f>"9783030548018"</f>
        <v>9783030548018</v>
      </c>
      <c r="D1428" t="str">
        <f>"9783030548025"</f>
        <v>9783030548025</v>
      </c>
      <c r="E1428" t="s">
        <v>756</v>
      </c>
      <c r="F1428" s="1">
        <v>44096</v>
      </c>
    </row>
    <row r="1429" spans="1:6" x14ac:dyDescent="0.25">
      <c r="A1429">
        <v>6355622</v>
      </c>
      <c r="B1429" t="s">
        <v>1460</v>
      </c>
      <c r="C1429" t="str">
        <f>"9783030474317"</f>
        <v>9783030474317</v>
      </c>
      <c r="D1429" t="str">
        <f>"9783030474324"</f>
        <v>9783030474324</v>
      </c>
      <c r="E1429" t="s">
        <v>756</v>
      </c>
      <c r="F1429" s="1">
        <v>44096</v>
      </c>
    </row>
    <row r="1430" spans="1:6" x14ac:dyDescent="0.25">
      <c r="A1430">
        <v>6357729</v>
      </c>
      <c r="B1430" t="s">
        <v>1461</v>
      </c>
      <c r="C1430" t="str">
        <f>""</f>
        <v/>
      </c>
      <c r="D1430" t="str">
        <f>"9789179298036"</f>
        <v>9789179298036</v>
      </c>
      <c r="E1430" t="s">
        <v>1268</v>
      </c>
      <c r="F1430" s="1">
        <v>44082</v>
      </c>
    </row>
    <row r="1431" spans="1:6" x14ac:dyDescent="0.25">
      <c r="A1431">
        <v>6359371</v>
      </c>
      <c r="B1431" t="s">
        <v>1462</v>
      </c>
      <c r="C1431" t="str">
        <f>"9781478009993"</f>
        <v>9781478009993</v>
      </c>
      <c r="D1431" t="str">
        <f>"9781478012580"</f>
        <v>9781478012580</v>
      </c>
      <c r="E1431" t="s">
        <v>174</v>
      </c>
      <c r="F1431" s="1">
        <v>44127</v>
      </c>
    </row>
    <row r="1432" spans="1:6" x14ac:dyDescent="0.25">
      <c r="A1432">
        <v>6360729</v>
      </c>
      <c r="B1432" t="s">
        <v>1463</v>
      </c>
      <c r="C1432" t="str">
        <f>"9783030424718"</f>
        <v>9783030424718</v>
      </c>
      <c r="D1432" t="str">
        <f>"9783030424725"</f>
        <v>9783030424725</v>
      </c>
      <c r="E1432" t="s">
        <v>756</v>
      </c>
      <c r="F1432" s="1">
        <v>44159</v>
      </c>
    </row>
    <row r="1433" spans="1:6" x14ac:dyDescent="0.25">
      <c r="A1433">
        <v>6360853</v>
      </c>
      <c r="B1433" t="s">
        <v>1464</v>
      </c>
      <c r="C1433" t="str">
        <f>"9781137426017"</f>
        <v>9781137426017</v>
      </c>
      <c r="D1433" t="str">
        <f>"9781137426024"</f>
        <v>9781137426024</v>
      </c>
      <c r="E1433" t="s">
        <v>1465</v>
      </c>
      <c r="F1433" s="1">
        <v>42185</v>
      </c>
    </row>
    <row r="1434" spans="1:6" x14ac:dyDescent="0.25">
      <c r="A1434">
        <v>6362076</v>
      </c>
      <c r="B1434" t="s">
        <v>1466</v>
      </c>
      <c r="C1434" t="str">
        <f>"9789811557279"</f>
        <v>9789811557279</v>
      </c>
      <c r="D1434" t="str">
        <f>"9789811557286"</f>
        <v>9789811557286</v>
      </c>
      <c r="E1434" t="s">
        <v>1177</v>
      </c>
      <c r="F1434" s="1">
        <v>44105</v>
      </c>
    </row>
    <row r="1435" spans="1:6" x14ac:dyDescent="0.25">
      <c r="A1435">
        <v>6363053</v>
      </c>
      <c r="B1435" t="s">
        <v>1467</v>
      </c>
      <c r="C1435" t="str">
        <f>""</f>
        <v/>
      </c>
      <c r="D1435" t="str">
        <f>"9789179297718"</f>
        <v>9789179297718</v>
      </c>
      <c r="E1435" t="s">
        <v>1268</v>
      </c>
      <c r="F1435" s="1">
        <v>44105</v>
      </c>
    </row>
    <row r="1436" spans="1:6" x14ac:dyDescent="0.25">
      <c r="A1436">
        <v>6363054</v>
      </c>
      <c r="B1436" t="s">
        <v>1468</v>
      </c>
      <c r="C1436" t="str">
        <f>""</f>
        <v/>
      </c>
      <c r="D1436" t="str">
        <f>"9789179298043"</f>
        <v>9789179298043</v>
      </c>
      <c r="E1436" t="s">
        <v>1268</v>
      </c>
      <c r="F1436" s="1">
        <v>44103</v>
      </c>
    </row>
    <row r="1437" spans="1:6" x14ac:dyDescent="0.25">
      <c r="A1437">
        <v>6363055</v>
      </c>
      <c r="B1437" t="s">
        <v>1469</v>
      </c>
      <c r="C1437" t="str">
        <f>""</f>
        <v/>
      </c>
      <c r="D1437" t="str">
        <f>"9789179298142"</f>
        <v>9789179298142</v>
      </c>
      <c r="E1437" t="s">
        <v>1268</v>
      </c>
      <c r="F1437" s="1">
        <v>44106</v>
      </c>
    </row>
    <row r="1438" spans="1:6" x14ac:dyDescent="0.25">
      <c r="A1438">
        <v>6363056</v>
      </c>
      <c r="B1438" t="s">
        <v>1470</v>
      </c>
      <c r="C1438" t="str">
        <f>""</f>
        <v/>
      </c>
      <c r="D1438" t="str">
        <f>"9789179298203"</f>
        <v>9789179298203</v>
      </c>
      <c r="E1438" t="s">
        <v>1268</v>
      </c>
      <c r="F1438" s="1">
        <v>44067</v>
      </c>
    </row>
    <row r="1439" spans="1:6" x14ac:dyDescent="0.25">
      <c r="A1439">
        <v>6363057</v>
      </c>
      <c r="B1439" t="s">
        <v>1471</v>
      </c>
      <c r="C1439" t="str">
        <f>""</f>
        <v/>
      </c>
      <c r="D1439" t="str">
        <f>"9789179297961"</f>
        <v>9789179297961</v>
      </c>
      <c r="E1439" t="s">
        <v>1268</v>
      </c>
      <c r="F1439" s="1">
        <v>44103</v>
      </c>
    </row>
    <row r="1440" spans="1:6" x14ac:dyDescent="0.25">
      <c r="A1440">
        <v>6363058</v>
      </c>
      <c r="B1440" t="s">
        <v>1472</v>
      </c>
      <c r="C1440" t="str">
        <f>""</f>
        <v/>
      </c>
      <c r="D1440" t="str">
        <f>"9789179297930"</f>
        <v>9789179297930</v>
      </c>
      <c r="E1440" t="s">
        <v>1268</v>
      </c>
      <c r="F1440" s="1">
        <v>44102</v>
      </c>
    </row>
    <row r="1441" spans="1:6" x14ac:dyDescent="0.25">
      <c r="A1441">
        <v>6363059</v>
      </c>
      <c r="B1441" t="s">
        <v>1473</v>
      </c>
      <c r="C1441" t="str">
        <f>""</f>
        <v/>
      </c>
      <c r="D1441" t="str">
        <f>"9789179297817"</f>
        <v>9789179297817</v>
      </c>
      <c r="E1441" t="s">
        <v>1268</v>
      </c>
      <c r="F1441" s="1">
        <v>44102</v>
      </c>
    </row>
    <row r="1442" spans="1:6" x14ac:dyDescent="0.25">
      <c r="A1442">
        <v>6363060</v>
      </c>
      <c r="B1442" t="s">
        <v>1474</v>
      </c>
      <c r="C1442" t="str">
        <f>""</f>
        <v/>
      </c>
      <c r="D1442" t="str">
        <f>"9789179297893"</f>
        <v>9789179297893</v>
      </c>
      <c r="E1442" t="s">
        <v>1268</v>
      </c>
      <c r="F1442" s="1">
        <v>44104</v>
      </c>
    </row>
    <row r="1443" spans="1:6" x14ac:dyDescent="0.25">
      <c r="A1443">
        <v>6363061</v>
      </c>
      <c r="B1443" t="s">
        <v>1475</v>
      </c>
      <c r="C1443" t="str">
        <f>""</f>
        <v/>
      </c>
      <c r="D1443" t="str">
        <f>"9789179298265"</f>
        <v>9789179298265</v>
      </c>
      <c r="E1443" t="s">
        <v>1268</v>
      </c>
      <c r="F1443" s="1">
        <v>44102</v>
      </c>
    </row>
    <row r="1444" spans="1:6" x14ac:dyDescent="0.25">
      <c r="A1444">
        <v>6363081</v>
      </c>
      <c r="B1444" t="s">
        <v>1476</v>
      </c>
      <c r="C1444" t="str">
        <f>"9783030420963"</f>
        <v>9783030420963</v>
      </c>
      <c r="D1444" t="str">
        <f>"9783030420970"</f>
        <v>9783030420970</v>
      </c>
      <c r="E1444" t="s">
        <v>756</v>
      </c>
      <c r="F1444" s="1">
        <v>44005</v>
      </c>
    </row>
    <row r="1445" spans="1:6" x14ac:dyDescent="0.25">
      <c r="A1445">
        <v>6363086</v>
      </c>
      <c r="B1445" t="s">
        <v>1477</v>
      </c>
      <c r="C1445" t="str">
        <f>"9783319120386"</f>
        <v>9783319120386</v>
      </c>
      <c r="D1445" t="str">
        <f>"9783319120393"</f>
        <v>9783319120393</v>
      </c>
      <c r="E1445" t="s">
        <v>756</v>
      </c>
      <c r="F1445" s="1">
        <v>42142</v>
      </c>
    </row>
    <row r="1446" spans="1:6" x14ac:dyDescent="0.25">
      <c r="A1446">
        <v>6363088</v>
      </c>
      <c r="B1446" t="s">
        <v>1478</v>
      </c>
      <c r="C1446" t="str">
        <f>"9783319215686"</f>
        <v>9783319215686</v>
      </c>
      <c r="D1446" t="str">
        <f>"9783319215693"</f>
        <v>9783319215693</v>
      </c>
      <c r="E1446" t="s">
        <v>756</v>
      </c>
      <c r="F1446" s="1">
        <v>42471</v>
      </c>
    </row>
    <row r="1447" spans="1:6" x14ac:dyDescent="0.25">
      <c r="A1447">
        <v>6363092</v>
      </c>
      <c r="B1447" t="s">
        <v>1479</v>
      </c>
      <c r="C1447" t="str">
        <f>"9783319272863"</f>
        <v>9783319272863</v>
      </c>
      <c r="D1447" t="str">
        <f>"9783319272887"</f>
        <v>9783319272887</v>
      </c>
      <c r="E1447" t="s">
        <v>756</v>
      </c>
      <c r="F1447" s="1">
        <v>42711</v>
      </c>
    </row>
    <row r="1448" spans="1:6" x14ac:dyDescent="0.25">
      <c r="A1448">
        <v>6363097</v>
      </c>
      <c r="B1448" t="s">
        <v>1480</v>
      </c>
      <c r="C1448" t="str">
        <f>"9783319163567"</f>
        <v>9783319163567</v>
      </c>
      <c r="D1448" t="str">
        <f>"9783319163574"</f>
        <v>9783319163574</v>
      </c>
      <c r="E1448" t="s">
        <v>756</v>
      </c>
      <c r="F1448" s="1">
        <v>42130</v>
      </c>
    </row>
    <row r="1449" spans="1:6" x14ac:dyDescent="0.25">
      <c r="A1449">
        <v>6363098</v>
      </c>
      <c r="B1449" t="s">
        <v>1481</v>
      </c>
      <c r="C1449" t="str">
        <f>"9783319397528"</f>
        <v>9783319397528</v>
      </c>
      <c r="D1449" t="str">
        <f>"9783319397542"</f>
        <v>9783319397542</v>
      </c>
      <c r="E1449" t="s">
        <v>756</v>
      </c>
      <c r="F1449" s="1">
        <v>42630</v>
      </c>
    </row>
    <row r="1450" spans="1:6" x14ac:dyDescent="0.25">
      <c r="A1450">
        <v>6363101</v>
      </c>
      <c r="B1450" t="s">
        <v>1482</v>
      </c>
      <c r="C1450" t="str">
        <f>"9783319319025"</f>
        <v>9783319319025</v>
      </c>
      <c r="D1450" t="str">
        <f>"9783319319032"</f>
        <v>9783319319032</v>
      </c>
      <c r="E1450" t="s">
        <v>756</v>
      </c>
      <c r="F1450" s="1">
        <v>42734</v>
      </c>
    </row>
    <row r="1451" spans="1:6" x14ac:dyDescent="0.25">
      <c r="A1451">
        <v>6363103</v>
      </c>
      <c r="B1451" t="s">
        <v>1483</v>
      </c>
      <c r="C1451" t="str">
        <f>"9783319454702"</f>
        <v>9783319454702</v>
      </c>
      <c r="D1451" t="str">
        <f>"9783319454719"</f>
        <v>9783319454719</v>
      </c>
      <c r="E1451" t="s">
        <v>756</v>
      </c>
      <c r="F1451" s="1">
        <v>42655</v>
      </c>
    </row>
    <row r="1452" spans="1:6" x14ac:dyDescent="0.25">
      <c r="A1452">
        <v>6363104</v>
      </c>
      <c r="B1452" t="s">
        <v>1484</v>
      </c>
      <c r="C1452" t="str">
        <f>"9783319165097"</f>
        <v>9783319165097</v>
      </c>
      <c r="D1452" t="str">
        <f>"9783319165103"</f>
        <v>9783319165103</v>
      </c>
      <c r="E1452" t="s">
        <v>756</v>
      </c>
      <c r="F1452" s="1">
        <v>42166</v>
      </c>
    </row>
    <row r="1453" spans="1:6" x14ac:dyDescent="0.25">
      <c r="A1453">
        <v>6363108</v>
      </c>
      <c r="B1453" t="s">
        <v>1485</v>
      </c>
      <c r="C1453" t="str">
        <f>"9783030331566"</f>
        <v>9783030331566</v>
      </c>
      <c r="D1453" t="str">
        <f>"9783030331573"</f>
        <v>9783030331573</v>
      </c>
      <c r="E1453" t="s">
        <v>756</v>
      </c>
      <c r="F1453" s="1">
        <v>44005</v>
      </c>
    </row>
    <row r="1454" spans="1:6" x14ac:dyDescent="0.25">
      <c r="A1454">
        <v>6363109</v>
      </c>
      <c r="B1454" t="s">
        <v>1486</v>
      </c>
      <c r="C1454" t="str">
        <f>"9783319263793"</f>
        <v>9783319263793</v>
      </c>
      <c r="D1454" t="str">
        <f>"9783319263809"</f>
        <v>9783319263809</v>
      </c>
      <c r="E1454" t="s">
        <v>756</v>
      </c>
      <c r="F1454" s="1">
        <v>42369</v>
      </c>
    </row>
    <row r="1455" spans="1:6" x14ac:dyDescent="0.25">
      <c r="A1455">
        <v>6363110</v>
      </c>
      <c r="B1455" t="s">
        <v>1487</v>
      </c>
      <c r="C1455" t="str">
        <f>"9783319397610"</f>
        <v>9783319397610</v>
      </c>
      <c r="D1455" t="str">
        <f>"9783319397634"</f>
        <v>9783319397634</v>
      </c>
      <c r="E1455" t="s">
        <v>756</v>
      </c>
      <c r="F1455" s="1">
        <v>42720</v>
      </c>
    </row>
    <row r="1456" spans="1:6" x14ac:dyDescent="0.25">
      <c r="A1456">
        <v>6363125</v>
      </c>
      <c r="B1456" t="s">
        <v>1488</v>
      </c>
      <c r="C1456" t="str">
        <f>"9783319446202"</f>
        <v>9783319446202</v>
      </c>
      <c r="D1456" t="str">
        <f>"9783319446219"</f>
        <v>9783319446219</v>
      </c>
      <c r="E1456" t="s">
        <v>756</v>
      </c>
      <c r="F1456" s="1">
        <v>42769</v>
      </c>
    </row>
    <row r="1457" spans="1:6" x14ac:dyDescent="0.25">
      <c r="A1457">
        <v>6363127</v>
      </c>
      <c r="B1457" t="s">
        <v>1489</v>
      </c>
      <c r="C1457" t="str">
        <f>"9783319091136"</f>
        <v>9783319091136</v>
      </c>
      <c r="D1457" t="str">
        <f>"9783319091143"</f>
        <v>9783319091143</v>
      </c>
      <c r="E1457" t="s">
        <v>756</v>
      </c>
      <c r="F1457" s="1">
        <v>42026</v>
      </c>
    </row>
    <row r="1458" spans="1:6" x14ac:dyDescent="0.25">
      <c r="A1458">
        <v>6363131</v>
      </c>
      <c r="B1458" t="s">
        <v>1490</v>
      </c>
      <c r="C1458" t="str">
        <f>"9783319080536"</f>
        <v>9783319080536</v>
      </c>
      <c r="D1458" t="str">
        <f>"9783319080543"</f>
        <v>9783319080543</v>
      </c>
      <c r="E1458" t="s">
        <v>756</v>
      </c>
      <c r="F1458" s="1">
        <v>41968</v>
      </c>
    </row>
    <row r="1459" spans="1:6" x14ac:dyDescent="0.25">
      <c r="A1459">
        <v>6363132</v>
      </c>
      <c r="B1459" t="s">
        <v>1491</v>
      </c>
      <c r="C1459" t="str">
        <f>"9783319450193"</f>
        <v>9783319450193</v>
      </c>
      <c r="D1459" t="str">
        <f>"9783319450216"</f>
        <v>9783319450216</v>
      </c>
      <c r="E1459" t="s">
        <v>756</v>
      </c>
      <c r="F1459" s="1">
        <v>42720</v>
      </c>
    </row>
    <row r="1460" spans="1:6" x14ac:dyDescent="0.25">
      <c r="A1460">
        <v>6363134</v>
      </c>
      <c r="B1460" t="s">
        <v>1492</v>
      </c>
      <c r="C1460" t="str">
        <f>"9783319175447"</f>
        <v>9783319175447</v>
      </c>
      <c r="D1460" t="str">
        <f>"9783319175454"</f>
        <v>9783319175454</v>
      </c>
      <c r="E1460" t="s">
        <v>756</v>
      </c>
      <c r="F1460" s="1">
        <v>42312</v>
      </c>
    </row>
    <row r="1461" spans="1:6" x14ac:dyDescent="0.25">
      <c r="A1461">
        <v>6363136</v>
      </c>
      <c r="B1461" t="s">
        <v>1493</v>
      </c>
      <c r="C1461" t="str">
        <f>"9783030477004"</f>
        <v>9783030477004</v>
      </c>
      <c r="D1461" t="str">
        <f>"9783030477011"</f>
        <v>9783030477011</v>
      </c>
      <c r="E1461" t="s">
        <v>756</v>
      </c>
      <c r="F1461" s="1">
        <v>44001</v>
      </c>
    </row>
    <row r="1462" spans="1:6" x14ac:dyDescent="0.25">
      <c r="A1462">
        <v>6363137</v>
      </c>
      <c r="B1462" t="s">
        <v>1494</v>
      </c>
      <c r="C1462" t="str">
        <f>"9783319412511"</f>
        <v>9783319412511</v>
      </c>
      <c r="D1462" t="str">
        <f>"9783319412528"</f>
        <v>9783319412528</v>
      </c>
      <c r="E1462" t="s">
        <v>756</v>
      </c>
      <c r="F1462" s="1">
        <v>42643</v>
      </c>
    </row>
    <row r="1463" spans="1:6" x14ac:dyDescent="0.25">
      <c r="A1463">
        <v>6363139</v>
      </c>
      <c r="B1463" t="s">
        <v>1495</v>
      </c>
      <c r="C1463" t="str">
        <f>"9783319169248"</f>
        <v>9783319169248</v>
      </c>
      <c r="D1463" t="str">
        <f>"9783319169255"</f>
        <v>9783319169255</v>
      </c>
      <c r="E1463" t="s">
        <v>756</v>
      </c>
      <c r="F1463" s="1">
        <v>42200</v>
      </c>
    </row>
    <row r="1464" spans="1:6" x14ac:dyDescent="0.25">
      <c r="A1464">
        <v>6363140</v>
      </c>
      <c r="B1464" t="s">
        <v>1496</v>
      </c>
      <c r="C1464" t="str">
        <f>"9783319184272"</f>
        <v>9783319184272</v>
      </c>
      <c r="D1464" t="str">
        <f>"9783319184289"</f>
        <v>9783319184289</v>
      </c>
      <c r="E1464" t="s">
        <v>756</v>
      </c>
      <c r="F1464" s="1">
        <v>42165</v>
      </c>
    </row>
    <row r="1465" spans="1:6" x14ac:dyDescent="0.25">
      <c r="A1465">
        <v>6363143</v>
      </c>
      <c r="B1465" t="s">
        <v>1497</v>
      </c>
      <c r="C1465" t="str">
        <f>"9789811565397"</f>
        <v>9789811565397</v>
      </c>
      <c r="D1465" t="str">
        <f>"9789811565403"</f>
        <v>9789811565403</v>
      </c>
      <c r="E1465" t="s">
        <v>1177</v>
      </c>
      <c r="F1465" s="1">
        <v>44107</v>
      </c>
    </row>
    <row r="1466" spans="1:6" x14ac:dyDescent="0.25">
      <c r="A1466">
        <v>6363147</v>
      </c>
      <c r="B1466" t="s">
        <v>1498</v>
      </c>
      <c r="C1466" t="str">
        <f>"9783319280639"</f>
        <v>9783319280639</v>
      </c>
      <c r="D1466" t="str">
        <f>"9783319280646"</f>
        <v>9783319280646</v>
      </c>
      <c r="E1466" t="s">
        <v>756</v>
      </c>
      <c r="F1466" s="1">
        <v>42484</v>
      </c>
    </row>
    <row r="1467" spans="1:6" x14ac:dyDescent="0.25">
      <c r="A1467">
        <v>6363149</v>
      </c>
      <c r="B1467" t="s">
        <v>1499</v>
      </c>
      <c r="C1467" t="str">
        <f>"9783319290140"</f>
        <v>9783319290140</v>
      </c>
      <c r="D1467" t="str">
        <f>"9783319290164"</f>
        <v>9783319290164</v>
      </c>
      <c r="E1467" t="s">
        <v>756</v>
      </c>
      <c r="F1467" s="1">
        <v>42489</v>
      </c>
    </row>
    <row r="1468" spans="1:6" x14ac:dyDescent="0.25">
      <c r="A1468">
        <v>6363154</v>
      </c>
      <c r="B1468" t="s">
        <v>1500</v>
      </c>
      <c r="C1468" t="str">
        <f>"9783319504681"</f>
        <v>9783319504681</v>
      </c>
      <c r="D1468" t="str">
        <f>"9783319504698"</f>
        <v>9783319504698</v>
      </c>
      <c r="E1468" t="s">
        <v>756</v>
      </c>
      <c r="F1468" s="1">
        <v>42734</v>
      </c>
    </row>
    <row r="1469" spans="1:6" x14ac:dyDescent="0.25">
      <c r="A1469">
        <v>6363157</v>
      </c>
      <c r="B1469" t="s">
        <v>1501</v>
      </c>
      <c r="C1469" t="str">
        <f>"9783319255576"</f>
        <v>9783319255576</v>
      </c>
      <c r="D1469" t="str">
        <f>"9783319255590"</f>
        <v>9783319255590</v>
      </c>
      <c r="E1469" t="s">
        <v>756</v>
      </c>
      <c r="F1469" s="1">
        <v>42388</v>
      </c>
    </row>
    <row r="1470" spans="1:6" x14ac:dyDescent="0.25">
      <c r="A1470">
        <v>6363163</v>
      </c>
      <c r="B1470" t="s">
        <v>1502</v>
      </c>
      <c r="C1470" t="str">
        <f>"9783030390655"</f>
        <v>9783030390655</v>
      </c>
      <c r="D1470" t="str">
        <f>"9783030390662"</f>
        <v>9783030390662</v>
      </c>
      <c r="E1470" t="s">
        <v>756</v>
      </c>
      <c r="F1470" s="1">
        <v>43992</v>
      </c>
    </row>
    <row r="1471" spans="1:6" x14ac:dyDescent="0.25">
      <c r="A1471">
        <v>6363164</v>
      </c>
      <c r="B1471" t="s">
        <v>1503</v>
      </c>
      <c r="C1471" t="str">
        <f>"9783319000251"</f>
        <v>9783319000251</v>
      </c>
      <c r="D1471" t="str">
        <f>"9783319000268"</f>
        <v>9783319000268</v>
      </c>
      <c r="E1471" t="s">
        <v>756</v>
      </c>
      <c r="F1471" s="1">
        <v>41649</v>
      </c>
    </row>
    <row r="1472" spans="1:6" x14ac:dyDescent="0.25">
      <c r="A1472">
        <v>6363170</v>
      </c>
      <c r="B1472" t="s">
        <v>1504</v>
      </c>
      <c r="C1472" t="str">
        <f>"9783319201696"</f>
        <v>9783319201696</v>
      </c>
      <c r="D1472" t="str">
        <f>"9783319201702"</f>
        <v>9783319201702</v>
      </c>
      <c r="E1472" t="s">
        <v>756</v>
      </c>
      <c r="F1472" s="1">
        <v>42704</v>
      </c>
    </row>
    <row r="1473" spans="1:6" x14ac:dyDescent="0.25">
      <c r="A1473">
        <v>6363174</v>
      </c>
      <c r="B1473" t="s">
        <v>1505</v>
      </c>
      <c r="C1473" t="str">
        <f>"9783030422738"</f>
        <v>9783030422738</v>
      </c>
      <c r="D1473" t="str">
        <f>"9783030422745"</f>
        <v>9783030422745</v>
      </c>
      <c r="E1473" t="s">
        <v>756</v>
      </c>
      <c r="F1473" s="1">
        <v>43994</v>
      </c>
    </row>
    <row r="1474" spans="1:6" x14ac:dyDescent="0.25">
      <c r="A1474">
        <v>6367471</v>
      </c>
      <c r="B1474" t="s">
        <v>1506</v>
      </c>
      <c r="C1474" t="str">
        <f>"9783319575315"</f>
        <v>9783319575315</v>
      </c>
      <c r="D1474" t="str">
        <f>"9783319575322"</f>
        <v>9783319575322</v>
      </c>
      <c r="E1474" t="s">
        <v>756</v>
      </c>
      <c r="F1474" s="1">
        <v>42915</v>
      </c>
    </row>
    <row r="1475" spans="1:6" x14ac:dyDescent="0.25">
      <c r="A1475">
        <v>6367798</v>
      </c>
      <c r="B1475" t="s">
        <v>1507</v>
      </c>
      <c r="C1475" t="str">
        <f>"9783319031361"</f>
        <v>9783319031361</v>
      </c>
      <c r="D1475" t="str">
        <f>"9783319031378"</f>
        <v>9783319031378</v>
      </c>
      <c r="E1475" t="s">
        <v>756</v>
      </c>
      <c r="F1475" s="1">
        <v>41626</v>
      </c>
    </row>
    <row r="1476" spans="1:6" x14ac:dyDescent="0.25">
      <c r="A1476">
        <v>6367905</v>
      </c>
      <c r="B1476" t="s">
        <v>1508</v>
      </c>
      <c r="C1476" t="str">
        <f>"9783319038643"</f>
        <v>9783319038643</v>
      </c>
      <c r="D1476" t="str">
        <f>"9783319038650"</f>
        <v>9783319038650</v>
      </c>
      <c r="E1476" t="s">
        <v>756</v>
      </c>
      <c r="F1476" s="1">
        <v>41753</v>
      </c>
    </row>
    <row r="1477" spans="1:6" x14ac:dyDescent="0.25">
      <c r="A1477">
        <v>6367927</v>
      </c>
      <c r="B1477" t="s">
        <v>1509</v>
      </c>
      <c r="C1477" t="str">
        <f>"9783319559810"</f>
        <v>9783319559810</v>
      </c>
      <c r="D1477" t="str">
        <f>"9783319559827"</f>
        <v>9783319559827</v>
      </c>
      <c r="E1477" t="s">
        <v>756</v>
      </c>
      <c r="F1477" s="1">
        <v>42969</v>
      </c>
    </row>
    <row r="1478" spans="1:6" x14ac:dyDescent="0.25">
      <c r="A1478">
        <v>6367944</v>
      </c>
      <c r="B1478" t="s">
        <v>1510</v>
      </c>
      <c r="C1478" t="str">
        <f>"9783319002323"</f>
        <v>9783319002323</v>
      </c>
      <c r="D1478" t="str">
        <f>"9783319002330"</f>
        <v>9783319002330</v>
      </c>
      <c r="E1478" t="s">
        <v>756</v>
      </c>
      <c r="F1478" s="1">
        <v>41564</v>
      </c>
    </row>
    <row r="1479" spans="1:6" x14ac:dyDescent="0.25">
      <c r="A1479">
        <v>6367945</v>
      </c>
      <c r="B1479" t="s">
        <v>1511</v>
      </c>
      <c r="C1479" t="str">
        <f>"9783319262987"</f>
        <v>9783319262987</v>
      </c>
      <c r="D1479" t="str">
        <f>"9783319263007"</f>
        <v>9783319263007</v>
      </c>
      <c r="E1479" t="s">
        <v>756</v>
      </c>
      <c r="F1479" s="1">
        <v>42548</v>
      </c>
    </row>
    <row r="1480" spans="1:6" x14ac:dyDescent="0.25">
      <c r="A1480">
        <v>6367947</v>
      </c>
      <c r="B1480" t="s">
        <v>1512</v>
      </c>
      <c r="C1480" t="str">
        <f>"9783319412849"</f>
        <v>9783319412849</v>
      </c>
      <c r="D1480" t="str">
        <f>"9783319412856"</f>
        <v>9783319412856</v>
      </c>
      <c r="E1480" t="s">
        <v>756</v>
      </c>
      <c r="F1480" s="1">
        <v>42626</v>
      </c>
    </row>
    <row r="1481" spans="1:6" x14ac:dyDescent="0.25">
      <c r="A1481">
        <v>6367948</v>
      </c>
      <c r="B1481" t="s">
        <v>1513</v>
      </c>
      <c r="C1481" t="str">
        <f>"9783030493912"</f>
        <v>9783030493912</v>
      </c>
      <c r="D1481" t="str">
        <f>"9783030493929"</f>
        <v>9783030493929</v>
      </c>
      <c r="E1481" t="s">
        <v>756</v>
      </c>
      <c r="F1481" s="1">
        <v>43979</v>
      </c>
    </row>
    <row r="1482" spans="1:6" x14ac:dyDescent="0.25">
      <c r="A1482">
        <v>6367949</v>
      </c>
      <c r="B1482" t="s">
        <v>1514</v>
      </c>
      <c r="C1482" t="str">
        <f>"9783319413020"</f>
        <v>9783319413020</v>
      </c>
      <c r="D1482" t="str">
        <f>"9783319413044"</f>
        <v>9783319413044</v>
      </c>
      <c r="E1482" t="s">
        <v>756</v>
      </c>
      <c r="F1482" s="1">
        <v>43000</v>
      </c>
    </row>
    <row r="1483" spans="1:6" x14ac:dyDescent="0.25">
      <c r="A1483">
        <v>6367961</v>
      </c>
      <c r="B1483" t="s">
        <v>1515</v>
      </c>
      <c r="C1483" t="str">
        <f>"9783319235752"</f>
        <v>9783319235752</v>
      </c>
      <c r="D1483" t="str">
        <f>"9783319235769"</f>
        <v>9783319235769</v>
      </c>
      <c r="E1483" t="s">
        <v>756</v>
      </c>
      <c r="F1483" s="1">
        <v>42620</v>
      </c>
    </row>
    <row r="1484" spans="1:6" x14ac:dyDescent="0.25">
      <c r="A1484">
        <v>6367962</v>
      </c>
      <c r="B1484" t="s">
        <v>1516</v>
      </c>
      <c r="C1484" t="str">
        <f>"9783319582948"</f>
        <v>9783319582948</v>
      </c>
      <c r="D1484" t="str">
        <f>"9783319582955"</f>
        <v>9783319582955</v>
      </c>
      <c r="E1484" t="s">
        <v>756</v>
      </c>
      <c r="F1484" s="1">
        <v>42923</v>
      </c>
    </row>
    <row r="1485" spans="1:6" x14ac:dyDescent="0.25">
      <c r="A1485">
        <v>6367968</v>
      </c>
      <c r="B1485" t="s">
        <v>1517</v>
      </c>
      <c r="C1485" t="str">
        <f>"9783319647302"</f>
        <v>9783319647302</v>
      </c>
      <c r="D1485" t="str">
        <f>"9783319647319"</f>
        <v>9783319647319</v>
      </c>
      <c r="E1485" t="s">
        <v>756</v>
      </c>
      <c r="F1485" s="1">
        <v>43082</v>
      </c>
    </row>
    <row r="1486" spans="1:6" x14ac:dyDescent="0.25">
      <c r="A1486">
        <v>6367970</v>
      </c>
      <c r="B1486" t="s">
        <v>1518</v>
      </c>
      <c r="C1486" t="str">
        <f>"9783319254722"</f>
        <v>9783319254722</v>
      </c>
      <c r="D1486" t="str">
        <f>"9783319254746"</f>
        <v>9783319254746</v>
      </c>
      <c r="E1486" t="s">
        <v>756</v>
      </c>
      <c r="F1486" s="1">
        <v>42476</v>
      </c>
    </row>
    <row r="1487" spans="1:6" x14ac:dyDescent="0.25">
      <c r="A1487">
        <v>6368222</v>
      </c>
      <c r="B1487" t="s">
        <v>1519</v>
      </c>
      <c r="C1487" t="str">
        <f>"9781783745760"</f>
        <v>9781783745760</v>
      </c>
      <c r="D1487" t="str">
        <f>"9781783745777"</f>
        <v>9781783745777</v>
      </c>
      <c r="E1487" t="s">
        <v>580</v>
      </c>
      <c r="F1487" s="1">
        <v>44085</v>
      </c>
    </row>
    <row r="1488" spans="1:6" x14ac:dyDescent="0.25">
      <c r="A1488">
        <v>6368223</v>
      </c>
      <c r="B1488" t="s">
        <v>1520</v>
      </c>
      <c r="C1488" t="str">
        <f>"9781800640061"</f>
        <v>9781800640061</v>
      </c>
      <c r="D1488" t="str">
        <f>"9781800640078"</f>
        <v>9781800640078</v>
      </c>
      <c r="E1488" t="s">
        <v>580</v>
      </c>
      <c r="F1488" s="1">
        <v>44092</v>
      </c>
    </row>
    <row r="1489" spans="1:6" x14ac:dyDescent="0.25">
      <c r="A1489">
        <v>6368224</v>
      </c>
      <c r="B1489" t="s">
        <v>1521</v>
      </c>
      <c r="C1489" t="str">
        <f>"9781783749881"</f>
        <v>9781783749881</v>
      </c>
      <c r="D1489" t="str">
        <f>"9781783749898"</f>
        <v>9781783749898</v>
      </c>
      <c r="E1489" t="s">
        <v>580</v>
      </c>
      <c r="F1489" s="1">
        <v>44085</v>
      </c>
    </row>
    <row r="1490" spans="1:6" x14ac:dyDescent="0.25">
      <c r="A1490">
        <v>6369353</v>
      </c>
      <c r="B1490" t="s">
        <v>1522</v>
      </c>
      <c r="C1490" t="str">
        <f>"9783319689654"</f>
        <v>9783319689654</v>
      </c>
      <c r="D1490" t="str">
        <f>"9783319689661"</f>
        <v>9783319689661</v>
      </c>
      <c r="E1490" t="s">
        <v>756</v>
      </c>
      <c r="F1490" s="1">
        <v>43083</v>
      </c>
    </row>
    <row r="1491" spans="1:6" x14ac:dyDescent="0.25">
      <c r="A1491">
        <v>6369355</v>
      </c>
      <c r="B1491" t="s">
        <v>1523</v>
      </c>
      <c r="C1491" t="str">
        <f>"9783319612904"</f>
        <v>9783319612904</v>
      </c>
      <c r="D1491" t="str">
        <f>"9783319612911"</f>
        <v>9783319612911</v>
      </c>
      <c r="E1491" t="s">
        <v>756</v>
      </c>
      <c r="F1491" s="1">
        <v>43045</v>
      </c>
    </row>
    <row r="1492" spans="1:6" x14ac:dyDescent="0.25">
      <c r="A1492">
        <v>6369359</v>
      </c>
      <c r="B1492" t="s">
        <v>1524</v>
      </c>
      <c r="C1492" t="str">
        <f>"9783319574950"</f>
        <v>9783319574950</v>
      </c>
      <c r="D1492" t="str">
        <f>"9783319574967"</f>
        <v>9783319574967</v>
      </c>
      <c r="E1492" t="s">
        <v>756</v>
      </c>
      <c r="F1492" s="1">
        <v>43010</v>
      </c>
    </row>
    <row r="1493" spans="1:6" x14ac:dyDescent="0.25">
      <c r="A1493">
        <v>6369363</v>
      </c>
      <c r="B1493" t="s">
        <v>1525</v>
      </c>
      <c r="C1493" t="str">
        <f>"9783319567136"</f>
        <v>9783319567136</v>
      </c>
      <c r="D1493" t="str">
        <f>"9783319567143"</f>
        <v>9783319567143</v>
      </c>
      <c r="E1493" t="s">
        <v>756</v>
      </c>
      <c r="F1493" s="1">
        <v>43063</v>
      </c>
    </row>
    <row r="1494" spans="1:6" x14ac:dyDescent="0.25">
      <c r="A1494">
        <v>6369364</v>
      </c>
      <c r="B1494" t="s">
        <v>1526</v>
      </c>
      <c r="C1494" t="str">
        <f>"9783319580197"</f>
        <v>9783319580197</v>
      </c>
      <c r="D1494" t="str">
        <f>"9783319580203"</f>
        <v>9783319580203</v>
      </c>
      <c r="E1494" t="s">
        <v>756</v>
      </c>
      <c r="F1494" s="1">
        <v>42884</v>
      </c>
    </row>
    <row r="1495" spans="1:6" x14ac:dyDescent="0.25">
      <c r="A1495">
        <v>6369366</v>
      </c>
      <c r="B1495" t="s">
        <v>1527</v>
      </c>
      <c r="C1495" t="str">
        <f>"9783319580418"</f>
        <v>9783319580418</v>
      </c>
      <c r="D1495" t="str">
        <f>"9783319580425"</f>
        <v>9783319580425</v>
      </c>
      <c r="E1495" t="s">
        <v>756</v>
      </c>
      <c r="F1495" s="1">
        <v>42997</v>
      </c>
    </row>
    <row r="1496" spans="1:6" x14ac:dyDescent="0.25">
      <c r="A1496">
        <v>6369367</v>
      </c>
      <c r="B1496" t="s">
        <v>1528</v>
      </c>
      <c r="C1496" t="str">
        <f>"9783319655260"</f>
        <v>9783319655260</v>
      </c>
      <c r="D1496" t="str">
        <f>"9783319655277"</f>
        <v>9783319655277</v>
      </c>
      <c r="E1496" t="s">
        <v>756</v>
      </c>
      <c r="F1496" s="1">
        <v>43031</v>
      </c>
    </row>
    <row r="1497" spans="1:6" x14ac:dyDescent="0.25">
      <c r="A1497">
        <v>6369374</v>
      </c>
      <c r="B1497" t="s">
        <v>1529</v>
      </c>
      <c r="C1497" t="str">
        <f>"9783319553801"</f>
        <v>9783319553801</v>
      </c>
      <c r="D1497" t="str">
        <f>"9783319553818"</f>
        <v>9783319553818</v>
      </c>
      <c r="E1497" t="s">
        <v>756</v>
      </c>
      <c r="F1497" s="1">
        <v>42985</v>
      </c>
    </row>
    <row r="1498" spans="1:6" x14ac:dyDescent="0.25">
      <c r="A1498">
        <v>6369633</v>
      </c>
      <c r="B1498" t="s">
        <v>1530</v>
      </c>
      <c r="C1498" t="str">
        <f>"9783030509903"</f>
        <v>9783030509903</v>
      </c>
      <c r="D1498" t="str">
        <f>"9783030509910"</f>
        <v>9783030509910</v>
      </c>
      <c r="E1498" t="s">
        <v>756</v>
      </c>
      <c r="F1498" s="1">
        <v>44112</v>
      </c>
    </row>
    <row r="1499" spans="1:6" x14ac:dyDescent="0.25">
      <c r="A1499">
        <v>6370592</v>
      </c>
      <c r="B1499" t="s">
        <v>1531</v>
      </c>
      <c r="C1499" t="str">
        <f>""</f>
        <v/>
      </c>
      <c r="D1499" t="str">
        <f>"9789179298654"</f>
        <v>9789179298654</v>
      </c>
      <c r="E1499" t="s">
        <v>1268</v>
      </c>
      <c r="F1499" s="1">
        <v>44113</v>
      </c>
    </row>
    <row r="1500" spans="1:6" x14ac:dyDescent="0.25">
      <c r="A1500">
        <v>6370593</v>
      </c>
      <c r="B1500" t="s">
        <v>1532</v>
      </c>
      <c r="C1500" t="str">
        <f>""</f>
        <v/>
      </c>
      <c r="D1500" t="str">
        <f>"9789179298029"</f>
        <v>9789179298029</v>
      </c>
      <c r="E1500" t="s">
        <v>1268</v>
      </c>
      <c r="F1500" s="1">
        <v>44106</v>
      </c>
    </row>
    <row r="1501" spans="1:6" x14ac:dyDescent="0.25">
      <c r="A1501">
        <v>6371484</v>
      </c>
      <c r="B1501" t="s">
        <v>1533</v>
      </c>
      <c r="C1501" t="str">
        <f>"9781780648972"</f>
        <v>9781780648972</v>
      </c>
      <c r="D1501" t="str">
        <f>"9781780648996"</f>
        <v>9781780648996</v>
      </c>
      <c r="E1501" t="s">
        <v>1534</v>
      </c>
      <c r="F1501" s="1">
        <v>42942</v>
      </c>
    </row>
    <row r="1502" spans="1:6" x14ac:dyDescent="0.25">
      <c r="A1502">
        <v>6371485</v>
      </c>
      <c r="B1502" t="s">
        <v>1535</v>
      </c>
      <c r="C1502" t="str">
        <f>"9781786390790"</f>
        <v>9781786390790</v>
      </c>
      <c r="D1502" t="str">
        <f>"9781786390813"</f>
        <v>9781786390813</v>
      </c>
      <c r="E1502" t="s">
        <v>1534</v>
      </c>
      <c r="F1502" s="1">
        <v>42725</v>
      </c>
    </row>
    <row r="1503" spans="1:6" x14ac:dyDescent="0.25">
      <c r="A1503">
        <v>6371486</v>
      </c>
      <c r="B1503" t="s">
        <v>1536</v>
      </c>
      <c r="C1503" t="str">
        <f>"9781780644981"</f>
        <v>9781780644981</v>
      </c>
      <c r="D1503" t="str">
        <f>"9781780646756"</f>
        <v>9781780646756</v>
      </c>
      <c r="E1503" t="s">
        <v>1534</v>
      </c>
      <c r="F1503" s="1">
        <v>42907</v>
      </c>
    </row>
    <row r="1504" spans="1:6" x14ac:dyDescent="0.25">
      <c r="A1504">
        <v>6371487</v>
      </c>
      <c r="B1504" t="s">
        <v>1537</v>
      </c>
      <c r="C1504" t="str">
        <f>"9781789246049"</f>
        <v>9781789246049</v>
      </c>
      <c r="D1504" t="str">
        <f>"9781789246063"</f>
        <v>9781789246063</v>
      </c>
      <c r="E1504" t="s">
        <v>1534</v>
      </c>
      <c r="F1504" s="1">
        <v>44091</v>
      </c>
    </row>
    <row r="1505" spans="1:6" x14ac:dyDescent="0.25">
      <c r="A1505">
        <v>6371488</v>
      </c>
      <c r="B1505" t="s">
        <v>1538</v>
      </c>
      <c r="C1505" t="str">
        <f>"9781786390592"</f>
        <v>9781786390592</v>
      </c>
      <c r="D1505" t="str">
        <f>"9781786390615"</f>
        <v>9781786390615</v>
      </c>
      <c r="E1505" t="s">
        <v>1534</v>
      </c>
      <c r="F1505" s="1">
        <v>42894</v>
      </c>
    </row>
    <row r="1506" spans="1:6" x14ac:dyDescent="0.25">
      <c r="A1506">
        <v>6371489</v>
      </c>
      <c r="B1506" t="s">
        <v>1539</v>
      </c>
      <c r="C1506" t="str">
        <f>"9781786390042"</f>
        <v>9781786390042</v>
      </c>
      <c r="D1506" t="str">
        <f>"9781786390066"</f>
        <v>9781786390066</v>
      </c>
      <c r="E1506" t="s">
        <v>1534</v>
      </c>
      <c r="F1506" s="1">
        <v>42674</v>
      </c>
    </row>
    <row r="1507" spans="1:6" x14ac:dyDescent="0.25">
      <c r="A1507">
        <v>6373741</v>
      </c>
      <c r="B1507" t="s">
        <v>1540</v>
      </c>
      <c r="C1507" t="str">
        <f>""</f>
        <v/>
      </c>
      <c r="D1507" t="str">
        <f>"9789179297879"</f>
        <v>9789179297879</v>
      </c>
      <c r="E1507" t="s">
        <v>1268</v>
      </c>
      <c r="F1507" s="1">
        <v>44119</v>
      </c>
    </row>
    <row r="1508" spans="1:6" x14ac:dyDescent="0.25">
      <c r="A1508">
        <v>6373742</v>
      </c>
      <c r="B1508" t="s">
        <v>1541</v>
      </c>
      <c r="C1508" t="str">
        <f>""</f>
        <v/>
      </c>
      <c r="D1508" t="str">
        <f>"9789179298210"</f>
        <v>9789179298210</v>
      </c>
      <c r="E1508" t="s">
        <v>1268</v>
      </c>
      <c r="F1508" s="1">
        <v>44120</v>
      </c>
    </row>
    <row r="1509" spans="1:6" x14ac:dyDescent="0.25">
      <c r="A1509">
        <v>6373743</v>
      </c>
      <c r="B1509" t="s">
        <v>1542</v>
      </c>
      <c r="C1509" t="str">
        <f>""</f>
        <v/>
      </c>
      <c r="D1509" t="str">
        <f>"9789179298067"</f>
        <v>9789179298067</v>
      </c>
      <c r="E1509" t="s">
        <v>1268</v>
      </c>
      <c r="F1509" s="1">
        <v>44113</v>
      </c>
    </row>
    <row r="1510" spans="1:6" x14ac:dyDescent="0.25">
      <c r="A1510">
        <v>6373744</v>
      </c>
      <c r="B1510" t="s">
        <v>1543</v>
      </c>
      <c r="C1510" t="str">
        <f>""</f>
        <v/>
      </c>
      <c r="D1510" t="str">
        <f>"9789179298616"</f>
        <v>9789179298616</v>
      </c>
      <c r="E1510" t="s">
        <v>1268</v>
      </c>
      <c r="F1510" s="1">
        <v>44116</v>
      </c>
    </row>
    <row r="1511" spans="1:6" x14ac:dyDescent="0.25">
      <c r="A1511">
        <v>6374613</v>
      </c>
      <c r="B1511" t="s">
        <v>1544</v>
      </c>
      <c r="C1511" t="str">
        <f>"9781783749034"</f>
        <v>9781783749034</v>
      </c>
      <c r="D1511" t="str">
        <f>"9781783749041"</f>
        <v>9781783749041</v>
      </c>
      <c r="E1511" t="s">
        <v>580</v>
      </c>
      <c r="F1511" s="1">
        <v>44126</v>
      </c>
    </row>
    <row r="1512" spans="1:6" x14ac:dyDescent="0.25">
      <c r="A1512">
        <v>6374669</v>
      </c>
      <c r="B1512" t="s">
        <v>1545</v>
      </c>
      <c r="C1512" t="str">
        <f>""</f>
        <v/>
      </c>
      <c r="D1512" t="str">
        <f>"9789048532117"</f>
        <v>9789048532117</v>
      </c>
      <c r="E1512" t="s">
        <v>59</v>
      </c>
      <c r="F1512" s="1">
        <v>44119</v>
      </c>
    </row>
    <row r="1513" spans="1:6" x14ac:dyDescent="0.25">
      <c r="A1513">
        <v>6377670</v>
      </c>
      <c r="B1513" t="s">
        <v>1546</v>
      </c>
      <c r="C1513" t="str">
        <f>""</f>
        <v/>
      </c>
      <c r="D1513" t="str">
        <f>"9789179297701"</f>
        <v>9789179297701</v>
      </c>
      <c r="E1513" t="s">
        <v>1268</v>
      </c>
      <c r="F1513" s="1">
        <v>44126</v>
      </c>
    </row>
    <row r="1514" spans="1:6" x14ac:dyDescent="0.25">
      <c r="A1514">
        <v>6377672</v>
      </c>
      <c r="B1514" t="s">
        <v>1547</v>
      </c>
      <c r="C1514" t="str">
        <f>""</f>
        <v/>
      </c>
      <c r="D1514" t="str">
        <f>"9789179297695"</f>
        <v>9789179297695</v>
      </c>
      <c r="E1514" t="s">
        <v>1268</v>
      </c>
      <c r="F1514" s="1">
        <v>44127</v>
      </c>
    </row>
    <row r="1515" spans="1:6" x14ac:dyDescent="0.25">
      <c r="A1515">
        <v>6377673</v>
      </c>
      <c r="B1515" t="s">
        <v>1548</v>
      </c>
      <c r="C1515" t="str">
        <f>""</f>
        <v/>
      </c>
      <c r="D1515" t="str">
        <f>"9789179298333"</f>
        <v>9789179298333</v>
      </c>
      <c r="E1515" t="s">
        <v>1268</v>
      </c>
      <c r="F1515" s="1">
        <v>44123</v>
      </c>
    </row>
    <row r="1516" spans="1:6" x14ac:dyDescent="0.25">
      <c r="A1516">
        <v>6377674</v>
      </c>
      <c r="B1516" t="s">
        <v>1549</v>
      </c>
      <c r="C1516" t="str">
        <f>""</f>
        <v/>
      </c>
      <c r="D1516" t="str">
        <f>"9789179297985"</f>
        <v>9789179297985</v>
      </c>
      <c r="E1516" t="s">
        <v>1268</v>
      </c>
      <c r="F1516" s="1">
        <v>44124</v>
      </c>
    </row>
    <row r="1517" spans="1:6" x14ac:dyDescent="0.25">
      <c r="A1517">
        <v>6379906</v>
      </c>
      <c r="B1517" t="s">
        <v>1550</v>
      </c>
      <c r="C1517" t="str">
        <f>"9781800640962"</f>
        <v>9781800640962</v>
      </c>
      <c r="D1517" t="str">
        <f>"9781800640979"</f>
        <v>9781800640979</v>
      </c>
      <c r="E1517" t="s">
        <v>580</v>
      </c>
      <c r="F1517" s="1">
        <v>44119</v>
      </c>
    </row>
    <row r="1518" spans="1:6" x14ac:dyDescent="0.25">
      <c r="A1518">
        <v>6379907</v>
      </c>
      <c r="B1518" t="s">
        <v>1551</v>
      </c>
      <c r="C1518" t="str">
        <f>"9781800640306"</f>
        <v>9781800640306</v>
      </c>
      <c r="D1518" t="str">
        <f>"9781800640313"</f>
        <v>9781800640313</v>
      </c>
      <c r="E1518" t="s">
        <v>580</v>
      </c>
      <c r="F1518" s="1">
        <v>44099</v>
      </c>
    </row>
    <row r="1519" spans="1:6" x14ac:dyDescent="0.25">
      <c r="A1519">
        <v>6380808</v>
      </c>
      <c r="B1519" t="s">
        <v>1552</v>
      </c>
      <c r="C1519" t="str">
        <f>"9783030370381"</f>
        <v>9783030370381</v>
      </c>
      <c r="D1519" t="str">
        <f>"9783030370398"</f>
        <v>9783030370398</v>
      </c>
      <c r="E1519" t="s">
        <v>756</v>
      </c>
      <c r="F1519" s="1">
        <v>44131</v>
      </c>
    </row>
    <row r="1520" spans="1:6" x14ac:dyDescent="0.25">
      <c r="A1520">
        <v>6380891</v>
      </c>
      <c r="B1520" t="s">
        <v>1553</v>
      </c>
      <c r="C1520" t="str">
        <f>"9783030553999"</f>
        <v>9783030553999</v>
      </c>
      <c r="D1520" t="str">
        <f>"9783030554002"</f>
        <v>9783030554002</v>
      </c>
      <c r="E1520" t="s">
        <v>756</v>
      </c>
      <c r="F1520" s="1">
        <v>44121</v>
      </c>
    </row>
    <row r="1521" spans="1:6" x14ac:dyDescent="0.25">
      <c r="A1521">
        <v>6380914</v>
      </c>
      <c r="B1521" t="s">
        <v>1554</v>
      </c>
      <c r="C1521" t="str">
        <f>"9783030551513"</f>
        <v>9783030551513</v>
      </c>
      <c r="D1521" t="str">
        <f>"9783030551520"</f>
        <v>9783030551520</v>
      </c>
      <c r="E1521" t="s">
        <v>756</v>
      </c>
      <c r="F1521" s="1">
        <v>44119</v>
      </c>
    </row>
    <row r="1522" spans="1:6" x14ac:dyDescent="0.25">
      <c r="A1522">
        <v>6381012</v>
      </c>
      <c r="B1522" t="s">
        <v>1555</v>
      </c>
      <c r="C1522" t="str">
        <f>"9783030546731"</f>
        <v>9783030546731</v>
      </c>
      <c r="D1522" t="str">
        <f>"9783030546748"</f>
        <v>9783030546748</v>
      </c>
      <c r="E1522" t="s">
        <v>756</v>
      </c>
      <c r="F1522" s="1">
        <v>44132</v>
      </c>
    </row>
    <row r="1523" spans="1:6" x14ac:dyDescent="0.25">
      <c r="A1523">
        <v>6381122</v>
      </c>
      <c r="B1523" t="s">
        <v>1556</v>
      </c>
      <c r="C1523" t="str">
        <f>"9783030570804"</f>
        <v>9783030570804</v>
      </c>
      <c r="D1523" t="str">
        <f>"9783030570811"</f>
        <v>9783030570811</v>
      </c>
      <c r="E1523" t="s">
        <v>756</v>
      </c>
      <c r="F1523" s="1">
        <v>44118</v>
      </c>
    </row>
    <row r="1524" spans="1:6" x14ac:dyDescent="0.25">
      <c r="A1524">
        <v>6381145</v>
      </c>
      <c r="B1524" t="s">
        <v>1557</v>
      </c>
      <c r="C1524" t="str">
        <f>"9783030538460"</f>
        <v>9783030538460</v>
      </c>
      <c r="D1524" t="str">
        <f>"9783030538477"</f>
        <v>9783030538477</v>
      </c>
      <c r="E1524" t="s">
        <v>756</v>
      </c>
      <c r="F1524" s="1">
        <v>44131</v>
      </c>
    </row>
    <row r="1525" spans="1:6" x14ac:dyDescent="0.25">
      <c r="A1525">
        <v>6381169</v>
      </c>
      <c r="B1525" t="s">
        <v>1558</v>
      </c>
      <c r="C1525" t="str">
        <f>"9783662489574"</f>
        <v>9783662489574</v>
      </c>
      <c r="D1525" t="str">
        <f>"9783662489598"</f>
        <v>9783662489598</v>
      </c>
      <c r="E1525" t="s">
        <v>1416</v>
      </c>
      <c r="F1525" s="1">
        <v>42479</v>
      </c>
    </row>
    <row r="1526" spans="1:6" x14ac:dyDescent="0.25">
      <c r="A1526">
        <v>6381176</v>
      </c>
      <c r="B1526" t="s">
        <v>1559</v>
      </c>
      <c r="C1526" t="str">
        <f>"9783658311599"</f>
        <v>9783658311599</v>
      </c>
      <c r="D1526" t="str">
        <f>"9783658311605"</f>
        <v>9783658311605</v>
      </c>
      <c r="E1526" t="s">
        <v>1391</v>
      </c>
      <c r="F1526" s="1">
        <v>44118</v>
      </c>
    </row>
    <row r="1527" spans="1:6" x14ac:dyDescent="0.25">
      <c r="A1527">
        <v>6381237</v>
      </c>
      <c r="B1527" t="s">
        <v>1560</v>
      </c>
      <c r="C1527" t="str">
        <f>"9783030546595"</f>
        <v>9783030546595</v>
      </c>
      <c r="D1527" t="str">
        <f>"9783030546601"</f>
        <v>9783030546601</v>
      </c>
      <c r="E1527" t="s">
        <v>756</v>
      </c>
      <c r="F1527" s="1">
        <v>44118</v>
      </c>
    </row>
    <row r="1528" spans="1:6" x14ac:dyDescent="0.25">
      <c r="A1528">
        <v>6381274</v>
      </c>
      <c r="B1528" t="s">
        <v>1561</v>
      </c>
      <c r="C1528" t="str">
        <f>"9783030598327"</f>
        <v>9783030598327</v>
      </c>
      <c r="D1528" t="str">
        <f>"9783030598334"</f>
        <v>9783030598334</v>
      </c>
      <c r="E1528" t="s">
        <v>756</v>
      </c>
      <c r="F1528" s="1">
        <v>44131</v>
      </c>
    </row>
    <row r="1529" spans="1:6" x14ac:dyDescent="0.25">
      <c r="A1529">
        <v>6381290</v>
      </c>
      <c r="B1529" t="s">
        <v>1562</v>
      </c>
      <c r="C1529" t="str">
        <f>"9783030496821"</f>
        <v>9783030496821</v>
      </c>
      <c r="D1529" t="str">
        <f>"9783030496838"</f>
        <v>9783030496838</v>
      </c>
      <c r="E1529" t="s">
        <v>756</v>
      </c>
      <c r="F1529" s="1">
        <v>44118</v>
      </c>
    </row>
    <row r="1530" spans="1:6" x14ac:dyDescent="0.25">
      <c r="A1530">
        <v>6381308</v>
      </c>
      <c r="B1530" t="s">
        <v>1563</v>
      </c>
      <c r="C1530" t="str">
        <f>"9783030496784"</f>
        <v>9783030496784</v>
      </c>
      <c r="D1530" t="str">
        <f>"9783030496791"</f>
        <v>9783030496791</v>
      </c>
      <c r="E1530" t="s">
        <v>756</v>
      </c>
      <c r="F1530" s="1">
        <v>44119</v>
      </c>
    </row>
    <row r="1531" spans="1:6" x14ac:dyDescent="0.25">
      <c r="A1531">
        <v>6381407</v>
      </c>
      <c r="B1531" t="s">
        <v>1564</v>
      </c>
      <c r="C1531" t="str">
        <f>"9783030278731"</f>
        <v>9783030278731</v>
      </c>
      <c r="D1531" t="str">
        <f>"9783030278748"</f>
        <v>9783030278748</v>
      </c>
      <c r="E1531" t="s">
        <v>756</v>
      </c>
      <c r="F1531" s="1">
        <v>44131</v>
      </c>
    </row>
    <row r="1532" spans="1:6" x14ac:dyDescent="0.25">
      <c r="A1532">
        <v>6381426</v>
      </c>
      <c r="B1532" t="s">
        <v>1565</v>
      </c>
      <c r="C1532" t="str">
        <f>"9789811551901"</f>
        <v>9789811551901</v>
      </c>
      <c r="D1532" t="str">
        <f>"9789811551918"</f>
        <v>9789811551918</v>
      </c>
      <c r="E1532" t="s">
        <v>1177</v>
      </c>
      <c r="F1532" s="1">
        <v>44127</v>
      </c>
    </row>
    <row r="1533" spans="1:6" x14ac:dyDescent="0.25">
      <c r="A1533">
        <v>6381442</v>
      </c>
      <c r="B1533" t="s">
        <v>1566</v>
      </c>
      <c r="C1533" t="str">
        <f>"9783319295572"</f>
        <v>9783319295572</v>
      </c>
      <c r="D1533" t="str">
        <f>"9783319295589"</f>
        <v>9783319295589</v>
      </c>
      <c r="E1533" t="s">
        <v>756</v>
      </c>
      <c r="F1533" s="1">
        <v>42451</v>
      </c>
    </row>
    <row r="1534" spans="1:6" x14ac:dyDescent="0.25">
      <c r="A1534">
        <v>6381988</v>
      </c>
      <c r="B1534" t="s">
        <v>1567</v>
      </c>
      <c r="C1534" t="str">
        <f>"9783030523909"</f>
        <v>9783030523909</v>
      </c>
      <c r="D1534" t="str">
        <f>"9783030523916"</f>
        <v>9783030523916</v>
      </c>
      <c r="E1534" t="s">
        <v>756</v>
      </c>
      <c r="F1534" s="1">
        <v>44134</v>
      </c>
    </row>
    <row r="1535" spans="1:6" x14ac:dyDescent="0.25">
      <c r="A1535">
        <v>6382137</v>
      </c>
      <c r="B1535" t="s">
        <v>1568</v>
      </c>
      <c r="C1535" t="str">
        <f>"9783030512408"</f>
        <v>9783030512408</v>
      </c>
      <c r="D1535" t="str">
        <f>"9783030512415"</f>
        <v>9783030512415</v>
      </c>
      <c r="E1535" t="s">
        <v>756</v>
      </c>
      <c r="F1535" s="1">
        <v>44135</v>
      </c>
    </row>
    <row r="1536" spans="1:6" x14ac:dyDescent="0.25">
      <c r="A1536">
        <v>6382138</v>
      </c>
      <c r="B1536" t="s">
        <v>1569</v>
      </c>
      <c r="C1536" t="str">
        <f>"9783030611569"</f>
        <v>9783030611569</v>
      </c>
      <c r="D1536" t="str">
        <f>"9783030611576"</f>
        <v>9783030611576</v>
      </c>
      <c r="E1536" t="s">
        <v>756</v>
      </c>
      <c r="F1536" s="1">
        <v>44135</v>
      </c>
    </row>
    <row r="1537" spans="1:6" x14ac:dyDescent="0.25">
      <c r="A1537">
        <v>6382143</v>
      </c>
      <c r="B1537" t="s">
        <v>1570</v>
      </c>
      <c r="C1537" t="str">
        <f>"9789811581823"</f>
        <v>9789811581823</v>
      </c>
      <c r="D1537" t="str">
        <f>"9789811581830"</f>
        <v>9789811581830</v>
      </c>
      <c r="E1537" t="s">
        <v>1465</v>
      </c>
      <c r="F1537" s="1">
        <v>44135</v>
      </c>
    </row>
    <row r="1538" spans="1:6" x14ac:dyDescent="0.25">
      <c r="A1538">
        <v>6382157</v>
      </c>
      <c r="B1538" t="s">
        <v>1571</v>
      </c>
      <c r="C1538" t="str">
        <f>"9783030512446"</f>
        <v>9783030512446</v>
      </c>
      <c r="D1538" t="str">
        <f>"9783030512453"</f>
        <v>9783030512453</v>
      </c>
      <c r="E1538" t="s">
        <v>756</v>
      </c>
      <c r="F1538" s="1">
        <v>44135</v>
      </c>
    </row>
    <row r="1539" spans="1:6" x14ac:dyDescent="0.25">
      <c r="A1539">
        <v>6382163</v>
      </c>
      <c r="B1539" t="s">
        <v>1572</v>
      </c>
      <c r="C1539" t="str">
        <f>"9783030548704"</f>
        <v>9783030548704</v>
      </c>
      <c r="D1539" t="str">
        <f>"9783030548711"</f>
        <v>9783030548711</v>
      </c>
      <c r="E1539" t="s">
        <v>756</v>
      </c>
      <c r="F1539" s="1">
        <v>44135</v>
      </c>
    </row>
    <row r="1540" spans="1:6" x14ac:dyDescent="0.25">
      <c r="A1540">
        <v>6382228</v>
      </c>
      <c r="B1540" t="s">
        <v>1573</v>
      </c>
      <c r="C1540" t="str">
        <f>""</f>
        <v/>
      </c>
      <c r="D1540" t="str">
        <f>"9789179297763"</f>
        <v>9789179297763</v>
      </c>
      <c r="E1540" t="s">
        <v>1268</v>
      </c>
      <c r="F1540" s="1">
        <v>44130</v>
      </c>
    </row>
    <row r="1541" spans="1:6" x14ac:dyDescent="0.25">
      <c r="A1541">
        <v>6382677</v>
      </c>
      <c r="B1541" t="s">
        <v>1574</v>
      </c>
      <c r="C1541" t="str">
        <f>""</f>
        <v/>
      </c>
      <c r="D1541" t="str">
        <f>"9789048551552"</f>
        <v>9789048551552</v>
      </c>
      <c r="E1541" t="s">
        <v>59</v>
      </c>
      <c r="F1541" s="1">
        <v>44109</v>
      </c>
    </row>
    <row r="1542" spans="1:6" x14ac:dyDescent="0.25">
      <c r="A1542">
        <v>6383170</v>
      </c>
      <c r="B1542" t="s">
        <v>1575</v>
      </c>
      <c r="C1542" t="str">
        <f>"9789813271791"</f>
        <v>9789813271791</v>
      </c>
      <c r="D1542" t="str">
        <f>"9789813271807"</f>
        <v>9789813271807</v>
      </c>
      <c r="E1542" t="s">
        <v>1382</v>
      </c>
      <c r="F1542" s="1">
        <v>43606</v>
      </c>
    </row>
    <row r="1543" spans="1:6" x14ac:dyDescent="0.25">
      <c r="A1543">
        <v>6383171</v>
      </c>
      <c r="B1543" t="s">
        <v>1576</v>
      </c>
      <c r="C1543" t="str">
        <f>"9789814759908"</f>
        <v>9789814759908</v>
      </c>
      <c r="D1543" t="str">
        <f>"9789814759915"</f>
        <v>9789814759915</v>
      </c>
      <c r="E1543" t="s">
        <v>1382</v>
      </c>
      <c r="F1543" s="1">
        <v>42545</v>
      </c>
    </row>
    <row r="1544" spans="1:6" x14ac:dyDescent="0.25">
      <c r="A1544">
        <v>6383172</v>
      </c>
      <c r="B1544" t="s">
        <v>1577</v>
      </c>
      <c r="C1544" t="str">
        <f>"9789813207806"</f>
        <v>9789813207806</v>
      </c>
      <c r="D1544" t="str">
        <f>"9789813207813"</f>
        <v>9789813207813</v>
      </c>
      <c r="E1544" t="s">
        <v>1382</v>
      </c>
      <c r="F1544" s="1">
        <v>42697</v>
      </c>
    </row>
    <row r="1545" spans="1:6" x14ac:dyDescent="0.25">
      <c r="A1545">
        <v>6383173</v>
      </c>
      <c r="B1545" t="s">
        <v>1578</v>
      </c>
      <c r="C1545" t="str">
        <f>"9789814749404"</f>
        <v>9789814749404</v>
      </c>
      <c r="D1545" t="str">
        <f>"9789814749411"</f>
        <v>9789814749411</v>
      </c>
      <c r="E1545" t="s">
        <v>1382</v>
      </c>
      <c r="F1545" s="1">
        <v>42327</v>
      </c>
    </row>
    <row r="1546" spans="1:6" x14ac:dyDescent="0.25">
      <c r="A1546">
        <v>6383174</v>
      </c>
      <c r="B1546" t="s">
        <v>1579</v>
      </c>
      <c r="C1546" t="str">
        <f>"9781848165694"</f>
        <v>9781848165694</v>
      </c>
      <c r="D1546" t="str">
        <f>"9781848165786"</f>
        <v>9781848165786</v>
      </c>
      <c r="E1546" t="s">
        <v>1382</v>
      </c>
      <c r="F1546" s="1">
        <v>40196</v>
      </c>
    </row>
    <row r="1547" spans="1:6" x14ac:dyDescent="0.25">
      <c r="A1547">
        <v>6383175</v>
      </c>
      <c r="B1547" t="s">
        <v>1580</v>
      </c>
      <c r="C1547" t="str">
        <f>"9781848165625"</f>
        <v>9781848165625</v>
      </c>
      <c r="D1547" t="str">
        <f>"9781848165632"</f>
        <v>9781848165632</v>
      </c>
      <c r="E1547" t="s">
        <v>1382</v>
      </c>
      <c r="F1547" s="1">
        <v>40109</v>
      </c>
    </row>
    <row r="1548" spans="1:6" x14ac:dyDescent="0.25">
      <c r="A1548">
        <v>6383176</v>
      </c>
      <c r="B1548" t="s">
        <v>1581</v>
      </c>
      <c r="C1548" t="str">
        <f>"9789811215629"</f>
        <v>9789811215629</v>
      </c>
      <c r="D1548" t="str">
        <f>"9789811215636"</f>
        <v>9789811215636</v>
      </c>
      <c r="E1548" t="s">
        <v>1382</v>
      </c>
      <c r="F1548" s="1">
        <v>43797</v>
      </c>
    </row>
    <row r="1549" spans="1:6" x14ac:dyDescent="0.25">
      <c r="A1549">
        <v>6383177</v>
      </c>
      <c r="B1549" t="s">
        <v>1582</v>
      </c>
      <c r="C1549" t="str">
        <f>"9789813226593"</f>
        <v>9789813226593</v>
      </c>
      <c r="D1549" t="str">
        <f>"9789813226609"</f>
        <v>9789813226609</v>
      </c>
      <c r="E1549" t="s">
        <v>1382</v>
      </c>
      <c r="F1549" s="1">
        <v>43021</v>
      </c>
    </row>
    <row r="1550" spans="1:6" x14ac:dyDescent="0.25">
      <c r="A1550">
        <v>6383178</v>
      </c>
      <c r="B1550" t="s">
        <v>1583</v>
      </c>
      <c r="C1550" t="str">
        <f>"9789813230880"</f>
        <v>9789813230880</v>
      </c>
      <c r="D1550" t="str">
        <f>"9789813230897"</f>
        <v>9789813230897</v>
      </c>
      <c r="E1550" t="s">
        <v>1382</v>
      </c>
      <c r="F1550" s="1">
        <v>43207</v>
      </c>
    </row>
    <row r="1551" spans="1:6" x14ac:dyDescent="0.25">
      <c r="A1551">
        <v>6383179</v>
      </c>
      <c r="B1551" t="s">
        <v>1584</v>
      </c>
      <c r="C1551" t="str">
        <f>"9789813235526"</f>
        <v>9789813235526</v>
      </c>
      <c r="D1551" t="str">
        <f>"9789813235533"</f>
        <v>9789813235533</v>
      </c>
      <c r="E1551" t="s">
        <v>1382</v>
      </c>
      <c r="F1551" s="1">
        <v>43056</v>
      </c>
    </row>
    <row r="1552" spans="1:6" x14ac:dyDescent="0.25">
      <c r="A1552">
        <v>6383180</v>
      </c>
      <c r="B1552" t="s">
        <v>1585</v>
      </c>
      <c r="C1552" t="str">
        <f>"9789813236028"</f>
        <v>9789813236028</v>
      </c>
      <c r="D1552" t="str">
        <f>"9789813236035"</f>
        <v>9789813236035</v>
      </c>
      <c r="E1552" t="s">
        <v>1382</v>
      </c>
      <c r="F1552" s="1">
        <v>43213</v>
      </c>
    </row>
    <row r="1553" spans="1:6" x14ac:dyDescent="0.25">
      <c r="A1553">
        <v>6383181</v>
      </c>
      <c r="B1553" t="s">
        <v>1586</v>
      </c>
      <c r="C1553" t="str">
        <f>"9789813272552"</f>
        <v>9789813272552</v>
      </c>
      <c r="D1553" t="str">
        <f>"9789813272569"</f>
        <v>9789813272569</v>
      </c>
      <c r="E1553" t="s">
        <v>1382</v>
      </c>
      <c r="F1553" s="1">
        <v>43357</v>
      </c>
    </row>
    <row r="1554" spans="1:6" x14ac:dyDescent="0.25">
      <c r="A1554">
        <v>6383182</v>
      </c>
      <c r="B1554" t="s">
        <v>1587</v>
      </c>
      <c r="C1554" t="str">
        <f>"9789813278349"</f>
        <v>9789813278349</v>
      </c>
      <c r="D1554" t="str">
        <f>"9789813278356"</f>
        <v>9789813278356</v>
      </c>
      <c r="E1554" t="s">
        <v>1382</v>
      </c>
      <c r="F1554" s="1">
        <v>43412</v>
      </c>
    </row>
    <row r="1555" spans="1:6" x14ac:dyDescent="0.25">
      <c r="A1555">
        <v>6383183</v>
      </c>
      <c r="B1555" t="s">
        <v>1588</v>
      </c>
      <c r="C1555" t="str">
        <f>"9789813279810"</f>
        <v>9789813279810</v>
      </c>
      <c r="D1555" t="str">
        <f>"9789813279827"</f>
        <v>9789813279827</v>
      </c>
      <c r="E1555" t="s">
        <v>1382</v>
      </c>
      <c r="F1555" s="1">
        <v>43432</v>
      </c>
    </row>
    <row r="1556" spans="1:6" x14ac:dyDescent="0.25">
      <c r="A1556">
        <v>6383184</v>
      </c>
      <c r="B1556" t="s">
        <v>1589</v>
      </c>
      <c r="C1556" t="str">
        <f>"9789814596374"</f>
        <v>9789814596374</v>
      </c>
      <c r="D1556" t="str">
        <f>"9789814366496"</f>
        <v>9789814366496</v>
      </c>
      <c r="E1556" t="s">
        <v>1382</v>
      </c>
      <c r="F1556" s="1">
        <v>40885</v>
      </c>
    </row>
    <row r="1557" spans="1:6" x14ac:dyDescent="0.25">
      <c r="A1557">
        <v>6383185</v>
      </c>
      <c r="B1557" t="s">
        <v>1590</v>
      </c>
      <c r="C1557" t="str">
        <f>"9789814596367"</f>
        <v>9789814596367</v>
      </c>
      <c r="D1557" t="str">
        <f>"9789814447973"</f>
        <v>9789814447973</v>
      </c>
      <c r="E1557" t="s">
        <v>1382</v>
      </c>
      <c r="F1557" s="1">
        <v>41229</v>
      </c>
    </row>
    <row r="1558" spans="1:6" x14ac:dyDescent="0.25">
      <c r="A1558">
        <v>6383186</v>
      </c>
      <c r="B1558" t="s">
        <v>1591</v>
      </c>
      <c r="C1558" t="str">
        <f>"9789814335041"</f>
        <v>9789814335041</v>
      </c>
      <c r="D1558" t="str">
        <f>"9789814335058"</f>
        <v>9789814335058</v>
      </c>
      <c r="E1558" t="s">
        <v>1382</v>
      </c>
      <c r="F1558" s="1">
        <v>40511</v>
      </c>
    </row>
    <row r="1559" spans="1:6" x14ac:dyDescent="0.25">
      <c r="A1559">
        <v>6383187</v>
      </c>
      <c r="B1559" t="s">
        <v>1592</v>
      </c>
      <c r="C1559" t="str">
        <f>"9789814299473"</f>
        <v>9789814299473</v>
      </c>
      <c r="D1559" t="str">
        <f>"9789814295291"</f>
        <v>9789814295291</v>
      </c>
      <c r="E1559" t="s">
        <v>1382</v>
      </c>
      <c r="F1559" s="1">
        <v>40109</v>
      </c>
    </row>
    <row r="1560" spans="1:6" x14ac:dyDescent="0.25">
      <c r="A1560">
        <v>6383188</v>
      </c>
      <c r="B1560" t="s">
        <v>1593</v>
      </c>
      <c r="C1560" t="str">
        <f>"9789814508711"</f>
        <v>9789814508711</v>
      </c>
      <c r="D1560" t="str">
        <f>"9789814508728"</f>
        <v>9789814508728</v>
      </c>
      <c r="E1560" t="s">
        <v>1382</v>
      </c>
      <c r="F1560" s="1">
        <v>41428</v>
      </c>
    </row>
    <row r="1561" spans="1:6" x14ac:dyDescent="0.25">
      <c r="A1561">
        <v>6383189</v>
      </c>
      <c r="B1561" t="s">
        <v>1594</v>
      </c>
      <c r="C1561" t="str">
        <f>"9789814596343"</f>
        <v>9789814596343</v>
      </c>
      <c r="D1561" t="str">
        <f>"9789814583220"</f>
        <v>9789814583220</v>
      </c>
      <c r="E1561" t="s">
        <v>1382</v>
      </c>
      <c r="F1561" s="1">
        <v>41597</v>
      </c>
    </row>
    <row r="1562" spans="1:6" x14ac:dyDescent="0.25">
      <c r="A1562">
        <v>6383190</v>
      </c>
      <c r="B1562" t="s">
        <v>1595</v>
      </c>
      <c r="C1562" t="str">
        <f>"9789814644143"</f>
        <v>9789814644143</v>
      </c>
      <c r="D1562" t="str">
        <f>"9789814644150"</f>
        <v>9789814644150</v>
      </c>
      <c r="E1562" t="s">
        <v>1382</v>
      </c>
      <c r="F1562" s="1">
        <v>42198</v>
      </c>
    </row>
    <row r="1563" spans="1:6" x14ac:dyDescent="0.25">
      <c r="A1563">
        <v>6383191</v>
      </c>
      <c r="B1563" t="s">
        <v>1596</v>
      </c>
      <c r="C1563" t="str">
        <f>"9789814644723"</f>
        <v>9789814644723</v>
      </c>
      <c r="D1563" t="str">
        <f>"9789814644730"</f>
        <v>9789814644730</v>
      </c>
      <c r="E1563" t="s">
        <v>1382</v>
      </c>
      <c r="F1563" s="1">
        <v>41954</v>
      </c>
    </row>
    <row r="1564" spans="1:6" x14ac:dyDescent="0.25">
      <c r="A1564">
        <v>6383192</v>
      </c>
      <c r="B1564" t="s">
        <v>1597</v>
      </c>
      <c r="C1564" t="str">
        <f>"9789814675468"</f>
        <v>9789814675468</v>
      </c>
      <c r="D1564" t="str">
        <f>"9789814675475"</f>
        <v>9789814675475</v>
      </c>
      <c r="E1564" t="s">
        <v>1382</v>
      </c>
      <c r="F1564" s="1">
        <v>42244</v>
      </c>
    </row>
    <row r="1565" spans="1:6" x14ac:dyDescent="0.25">
      <c r="A1565">
        <v>6383193</v>
      </c>
      <c r="B1565" t="s">
        <v>1598</v>
      </c>
      <c r="C1565" t="str">
        <f>"9789814730907"</f>
        <v>9789814730907</v>
      </c>
      <c r="D1565" t="str">
        <f>"9789814730914"</f>
        <v>9789814730914</v>
      </c>
      <c r="E1565" t="s">
        <v>1382</v>
      </c>
      <c r="F1565" s="1">
        <v>42716</v>
      </c>
    </row>
    <row r="1566" spans="1:6" x14ac:dyDescent="0.25">
      <c r="A1566">
        <v>6383194</v>
      </c>
      <c r="B1566" t="s">
        <v>1599</v>
      </c>
      <c r="C1566" t="str">
        <f>"9789814733502"</f>
        <v>9789814733502</v>
      </c>
      <c r="D1566" t="str">
        <f>"9789814733519"</f>
        <v>9789814733519</v>
      </c>
      <c r="E1566" t="s">
        <v>1382</v>
      </c>
      <c r="F1566" s="1">
        <v>42607</v>
      </c>
    </row>
    <row r="1567" spans="1:6" x14ac:dyDescent="0.25">
      <c r="A1567">
        <v>6383195</v>
      </c>
      <c r="B1567" t="s">
        <v>1600</v>
      </c>
      <c r="C1567" t="str">
        <f>"9789814749138"</f>
        <v>9789814749138</v>
      </c>
      <c r="D1567" t="str">
        <f>"9789814749145"</f>
        <v>9789814749145</v>
      </c>
      <c r="E1567" t="s">
        <v>1382</v>
      </c>
      <c r="F1567" s="1">
        <v>42852</v>
      </c>
    </row>
    <row r="1568" spans="1:6" x14ac:dyDescent="0.25">
      <c r="A1568">
        <v>6383534</v>
      </c>
      <c r="B1568" t="s">
        <v>1601</v>
      </c>
      <c r="C1568" t="str">
        <f>"9789811518300"</f>
        <v>9789811518300</v>
      </c>
      <c r="D1568" t="str">
        <f>"9789811518317"</f>
        <v>9789811518317</v>
      </c>
      <c r="E1568" t="s">
        <v>1177</v>
      </c>
      <c r="F1568" s="1">
        <v>44138</v>
      </c>
    </row>
    <row r="1569" spans="1:6" x14ac:dyDescent="0.25">
      <c r="A1569">
        <v>6383536</v>
      </c>
      <c r="B1569" t="s">
        <v>1602</v>
      </c>
      <c r="C1569" t="str">
        <f>"9783030466350"</f>
        <v>9783030466350</v>
      </c>
      <c r="D1569" t="str">
        <f>"9783030466367"</f>
        <v>9783030466367</v>
      </c>
      <c r="E1569" t="s">
        <v>756</v>
      </c>
      <c r="F1569" s="1">
        <v>44138</v>
      </c>
    </row>
    <row r="1570" spans="1:6" x14ac:dyDescent="0.25">
      <c r="A1570">
        <v>6383586</v>
      </c>
      <c r="B1570" t="s">
        <v>1603</v>
      </c>
      <c r="C1570" t="str">
        <f>"9781484255735"</f>
        <v>9781484255735</v>
      </c>
      <c r="D1570" t="str">
        <f>"9781484255742"</f>
        <v>9781484255742</v>
      </c>
      <c r="E1570" t="s">
        <v>1604</v>
      </c>
      <c r="F1570" s="1">
        <v>44138</v>
      </c>
    </row>
    <row r="1571" spans="1:6" x14ac:dyDescent="0.25">
      <c r="A1571">
        <v>6383590</v>
      </c>
      <c r="B1571" t="s">
        <v>1605</v>
      </c>
      <c r="C1571" t="str">
        <f>"9781478010258"</f>
        <v>9781478010258</v>
      </c>
      <c r="D1571" t="str">
        <f>"9781478012832"</f>
        <v>9781478012832</v>
      </c>
      <c r="E1571" t="s">
        <v>174</v>
      </c>
      <c r="F1571" s="1">
        <v>44183</v>
      </c>
    </row>
    <row r="1572" spans="1:6" x14ac:dyDescent="0.25">
      <c r="A1572">
        <v>6384516</v>
      </c>
      <c r="B1572" t="s">
        <v>1606</v>
      </c>
      <c r="C1572" t="str">
        <f>"9789811556319"</f>
        <v>9789811556319</v>
      </c>
      <c r="D1572" t="str">
        <f>"9789811556326"</f>
        <v>9789811556326</v>
      </c>
      <c r="E1572" t="s">
        <v>1177</v>
      </c>
      <c r="F1572" s="1">
        <v>44139</v>
      </c>
    </row>
    <row r="1573" spans="1:6" x14ac:dyDescent="0.25">
      <c r="A1573">
        <v>6384525</v>
      </c>
      <c r="B1573" t="s">
        <v>1607</v>
      </c>
      <c r="C1573" t="str">
        <f>"9783319967516"</f>
        <v>9783319967516</v>
      </c>
      <c r="D1573" t="str">
        <f>"9783319967523"</f>
        <v>9783319967523</v>
      </c>
      <c r="E1573" t="s">
        <v>756</v>
      </c>
      <c r="F1573" s="1">
        <v>43391</v>
      </c>
    </row>
    <row r="1574" spans="1:6" x14ac:dyDescent="0.25">
      <c r="A1574">
        <v>6384526</v>
      </c>
      <c r="B1574" t="s">
        <v>1608</v>
      </c>
      <c r="C1574" t="str">
        <f>"9783030575618"</f>
        <v>9783030575618</v>
      </c>
      <c r="D1574" t="str">
        <f>"9783030575625"</f>
        <v>9783030575625</v>
      </c>
      <c r="E1574" t="s">
        <v>756</v>
      </c>
      <c r="F1574" s="1">
        <v>44139</v>
      </c>
    </row>
    <row r="1575" spans="1:6" x14ac:dyDescent="0.25">
      <c r="A1575">
        <v>6384926</v>
      </c>
      <c r="B1575" t="s">
        <v>1609</v>
      </c>
      <c r="C1575" t="str">
        <f>"9783030570385"</f>
        <v>9783030570385</v>
      </c>
      <c r="D1575" t="str">
        <f>"9783030570392"</f>
        <v>9783030570392</v>
      </c>
      <c r="E1575" t="s">
        <v>756</v>
      </c>
      <c r="F1575" s="1">
        <v>44140</v>
      </c>
    </row>
    <row r="1576" spans="1:6" x14ac:dyDescent="0.25">
      <c r="A1576">
        <v>6385894</v>
      </c>
      <c r="B1576" t="s">
        <v>1610</v>
      </c>
      <c r="C1576" t="str">
        <f>"9789027201034"</f>
        <v>9789027201034</v>
      </c>
      <c r="D1576" t="str">
        <f>"9789027263834"</f>
        <v>9789027263834</v>
      </c>
      <c r="E1576" t="s">
        <v>413</v>
      </c>
      <c r="F1576" s="1">
        <v>43349</v>
      </c>
    </row>
    <row r="1577" spans="1:6" x14ac:dyDescent="0.25">
      <c r="A1577">
        <v>6385895</v>
      </c>
      <c r="B1577" t="s">
        <v>1611</v>
      </c>
      <c r="C1577" t="str">
        <f>"9789027201003"</f>
        <v>9789027201003</v>
      </c>
      <c r="D1577" t="str">
        <f>"9789027263865"</f>
        <v>9789027263865</v>
      </c>
      <c r="E1577" t="s">
        <v>413</v>
      </c>
      <c r="F1577" s="1">
        <v>43298</v>
      </c>
    </row>
    <row r="1578" spans="1:6" x14ac:dyDescent="0.25">
      <c r="A1578">
        <v>6385897</v>
      </c>
      <c r="B1578" t="s">
        <v>1612</v>
      </c>
      <c r="C1578" t="str">
        <f>"9789027203212"</f>
        <v>9789027203212</v>
      </c>
      <c r="D1578" t="str">
        <f>"9789027262493"</f>
        <v>9789027262493</v>
      </c>
      <c r="E1578" t="s">
        <v>413</v>
      </c>
      <c r="F1578" s="1">
        <v>43627</v>
      </c>
    </row>
    <row r="1579" spans="1:6" x14ac:dyDescent="0.25">
      <c r="A1579">
        <v>6385912</v>
      </c>
      <c r="B1579" t="s">
        <v>1613</v>
      </c>
      <c r="C1579" t="str">
        <f>"9789027204905"</f>
        <v>9789027204905</v>
      </c>
      <c r="D1579" t="str">
        <f>"9789027261601"</f>
        <v>9789027261601</v>
      </c>
      <c r="E1579" t="s">
        <v>413</v>
      </c>
      <c r="F1579" s="1">
        <v>43929</v>
      </c>
    </row>
    <row r="1580" spans="1:6" x14ac:dyDescent="0.25">
      <c r="A1580">
        <v>6385914</v>
      </c>
      <c r="B1580" t="s">
        <v>1614</v>
      </c>
      <c r="C1580" t="str">
        <f>"9789027202406"</f>
        <v>9789027202406</v>
      </c>
      <c r="D1580" t="str">
        <f>"9789027262769"</f>
        <v>9789027262769</v>
      </c>
      <c r="E1580" t="s">
        <v>413</v>
      </c>
      <c r="F1580" s="1">
        <v>43517</v>
      </c>
    </row>
    <row r="1581" spans="1:6" x14ac:dyDescent="0.25">
      <c r="A1581">
        <v>6385916</v>
      </c>
      <c r="B1581" t="s">
        <v>1615</v>
      </c>
      <c r="C1581" t="str">
        <f>"9789027263124"</f>
        <v>9789027263124</v>
      </c>
      <c r="D1581" t="str">
        <f>"9789027263131"</f>
        <v>9789027263131</v>
      </c>
      <c r="E1581" t="s">
        <v>413</v>
      </c>
      <c r="F1581" s="1">
        <v>43378</v>
      </c>
    </row>
    <row r="1582" spans="1:6" x14ac:dyDescent="0.25">
      <c r="A1582">
        <v>6385918</v>
      </c>
      <c r="B1582" t="s">
        <v>1616</v>
      </c>
      <c r="C1582" t="str">
        <f>"9789027203496"</f>
        <v>9789027203496</v>
      </c>
      <c r="D1582" t="str">
        <f>"9789027262240"</f>
        <v>9789027262240</v>
      </c>
      <c r="E1582" t="s">
        <v>413</v>
      </c>
      <c r="F1582" s="1">
        <v>43690</v>
      </c>
    </row>
    <row r="1583" spans="1:6" x14ac:dyDescent="0.25">
      <c r="A1583">
        <v>6386034</v>
      </c>
      <c r="B1583" t="s">
        <v>1617</v>
      </c>
      <c r="C1583" t="str">
        <f>"9783658320645"</f>
        <v>9783658320645</v>
      </c>
      <c r="D1583" t="str">
        <f>"9783658320652"</f>
        <v>9783658320652</v>
      </c>
      <c r="E1583" t="s">
        <v>1391</v>
      </c>
      <c r="F1583" s="1">
        <v>44141</v>
      </c>
    </row>
    <row r="1584" spans="1:6" x14ac:dyDescent="0.25">
      <c r="A1584">
        <v>6386050</v>
      </c>
      <c r="B1584" t="s">
        <v>1618</v>
      </c>
      <c r="C1584" t="str">
        <f>"9783030469504"</f>
        <v>9783030469504</v>
      </c>
      <c r="D1584" t="str">
        <f>"9783030469511"</f>
        <v>9783030469511</v>
      </c>
      <c r="E1584" t="s">
        <v>756</v>
      </c>
      <c r="F1584" s="1">
        <v>44141</v>
      </c>
    </row>
    <row r="1585" spans="1:6" x14ac:dyDescent="0.25">
      <c r="A1585">
        <v>6386056</v>
      </c>
      <c r="B1585" t="s">
        <v>1619</v>
      </c>
      <c r="C1585" t="str">
        <f>"9783662623763"</f>
        <v>9783662623763</v>
      </c>
      <c r="D1585" t="str">
        <f>"9783662623770"</f>
        <v>9783662623770</v>
      </c>
      <c r="E1585" t="s">
        <v>1416</v>
      </c>
      <c r="F1585" s="1">
        <v>44131</v>
      </c>
    </row>
    <row r="1586" spans="1:6" x14ac:dyDescent="0.25">
      <c r="A1586">
        <v>6386233</v>
      </c>
      <c r="B1586" t="s">
        <v>1620</v>
      </c>
      <c r="C1586" t="str">
        <f>""</f>
        <v/>
      </c>
      <c r="D1586" t="str">
        <f>"9789179297862"</f>
        <v>9789179297862</v>
      </c>
      <c r="E1586" t="s">
        <v>1268</v>
      </c>
      <c r="F1586" s="1">
        <v>44138</v>
      </c>
    </row>
    <row r="1587" spans="1:6" x14ac:dyDescent="0.25">
      <c r="A1587">
        <v>6386234</v>
      </c>
      <c r="B1587" t="s">
        <v>1621</v>
      </c>
      <c r="C1587" t="str">
        <f>""</f>
        <v/>
      </c>
      <c r="D1587" t="str">
        <f>"9789179297770"</f>
        <v>9789179297770</v>
      </c>
      <c r="E1587" t="s">
        <v>1268</v>
      </c>
      <c r="F1587" s="1">
        <v>44123</v>
      </c>
    </row>
    <row r="1588" spans="1:6" x14ac:dyDescent="0.25">
      <c r="A1588">
        <v>6386235</v>
      </c>
      <c r="B1588" t="s">
        <v>1622</v>
      </c>
      <c r="C1588" t="str">
        <f>""</f>
        <v/>
      </c>
      <c r="D1588" t="str">
        <f>"9789179297596"</f>
        <v>9789179297596</v>
      </c>
      <c r="E1588" t="s">
        <v>1268</v>
      </c>
      <c r="F1588" s="1">
        <v>44126</v>
      </c>
    </row>
    <row r="1589" spans="1:6" x14ac:dyDescent="0.25">
      <c r="A1589">
        <v>6386236</v>
      </c>
      <c r="B1589" t="s">
        <v>1623</v>
      </c>
      <c r="C1589" t="str">
        <f>""</f>
        <v/>
      </c>
      <c r="D1589" t="str">
        <f>"9789179297831"</f>
        <v>9789179297831</v>
      </c>
      <c r="E1589" t="s">
        <v>1268</v>
      </c>
      <c r="F1589" s="1">
        <v>44138</v>
      </c>
    </row>
    <row r="1590" spans="1:6" x14ac:dyDescent="0.25">
      <c r="A1590">
        <v>6386237</v>
      </c>
      <c r="B1590" t="s">
        <v>1624</v>
      </c>
      <c r="C1590" t="str">
        <f>""</f>
        <v/>
      </c>
      <c r="D1590" t="str">
        <f>"9789179297589"</f>
        <v>9789179297589</v>
      </c>
      <c r="E1590" t="s">
        <v>1268</v>
      </c>
      <c r="F1590" s="1">
        <v>44113</v>
      </c>
    </row>
    <row r="1591" spans="1:6" x14ac:dyDescent="0.25">
      <c r="A1591">
        <v>6386238</v>
      </c>
      <c r="B1591" t="s">
        <v>1625</v>
      </c>
      <c r="C1591" t="str">
        <f>""</f>
        <v/>
      </c>
      <c r="D1591" t="str">
        <f>"9789179297497"</f>
        <v>9789179297497</v>
      </c>
      <c r="E1591" t="s">
        <v>1268</v>
      </c>
      <c r="F1591" s="1">
        <v>44139</v>
      </c>
    </row>
    <row r="1592" spans="1:6" x14ac:dyDescent="0.25">
      <c r="A1592">
        <v>6387545</v>
      </c>
      <c r="B1592" t="s">
        <v>1626</v>
      </c>
      <c r="C1592" t="str">
        <f>"9783030496586"</f>
        <v>9783030496586</v>
      </c>
      <c r="D1592" t="str">
        <f>"9783030496593"</f>
        <v>9783030496593</v>
      </c>
      <c r="E1592" t="s">
        <v>756</v>
      </c>
      <c r="F1592" s="1">
        <v>44145</v>
      </c>
    </row>
    <row r="1593" spans="1:6" x14ac:dyDescent="0.25">
      <c r="A1593">
        <v>6388690</v>
      </c>
      <c r="B1593" t="s">
        <v>1627</v>
      </c>
      <c r="C1593" t="str">
        <f>"9783030563158"</f>
        <v>9783030563158</v>
      </c>
      <c r="D1593" t="str">
        <f>"9783030563165"</f>
        <v>9783030563165</v>
      </c>
      <c r="E1593" t="s">
        <v>756</v>
      </c>
      <c r="F1593" s="1">
        <v>44146</v>
      </c>
    </row>
    <row r="1594" spans="1:6" x14ac:dyDescent="0.25">
      <c r="A1594">
        <v>6395760</v>
      </c>
      <c r="B1594" t="s">
        <v>1628</v>
      </c>
      <c r="C1594" t="str">
        <f>"9783030512361"</f>
        <v>9783030512361</v>
      </c>
      <c r="D1594" t="str">
        <f>"9783030512378"</f>
        <v>9783030512378</v>
      </c>
      <c r="E1594" t="s">
        <v>756</v>
      </c>
      <c r="F1594" s="1">
        <v>44148</v>
      </c>
    </row>
    <row r="1595" spans="1:6" x14ac:dyDescent="0.25">
      <c r="A1595">
        <v>6395763</v>
      </c>
      <c r="B1595" t="s">
        <v>1629</v>
      </c>
      <c r="C1595" t="str">
        <f>"9783030517007"</f>
        <v>9783030517007</v>
      </c>
      <c r="D1595" t="str">
        <f>"9783030517014"</f>
        <v>9783030517014</v>
      </c>
      <c r="E1595" t="s">
        <v>756</v>
      </c>
      <c r="F1595" s="1">
        <v>44148</v>
      </c>
    </row>
    <row r="1596" spans="1:6" x14ac:dyDescent="0.25">
      <c r="A1596">
        <v>6396089</v>
      </c>
      <c r="B1596" t="s">
        <v>1630</v>
      </c>
      <c r="C1596" t="str">
        <f>"9783658320478"</f>
        <v>9783658320478</v>
      </c>
      <c r="D1596" t="str">
        <f>"9783658320485"</f>
        <v>9783658320485</v>
      </c>
      <c r="E1596" t="s">
        <v>1391</v>
      </c>
      <c r="F1596" s="1">
        <v>44149</v>
      </c>
    </row>
    <row r="1597" spans="1:6" x14ac:dyDescent="0.25">
      <c r="A1597">
        <v>6396098</v>
      </c>
      <c r="B1597" t="s">
        <v>1631</v>
      </c>
      <c r="C1597" t="str">
        <f>"9783030539139"</f>
        <v>9783030539139</v>
      </c>
      <c r="D1597" t="str">
        <f>"9783030539146"</f>
        <v>9783030539146</v>
      </c>
      <c r="E1597" t="s">
        <v>756</v>
      </c>
      <c r="F1597" s="1">
        <v>44149</v>
      </c>
    </row>
    <row r="1598" spans="1:6" x14ac:dyDescent="0.25">
      <c r="A1598">
        <v>6396099</v>
      </c>
      <c r="B1598" t="s">
        <v>1632</v>
      </c>
      <c r="C1598" t="str">
        <f>"9783030484415"</f>
        <v>9783030484415</v>
      </c>
      <c r="D1598" t="str">
        <f>"9783030484422"</f>
        <v>9783030484422</v>
      </c>
      <c r="E1598" t="s">
        <v>756</v>
      </c>
      <c r="F1598" s="1">
        <v>44149</v>
      </c>
    </row>
    <row r="1599" spans="1:6" x14ac:dyDescent="0.25">
      <c r="A1599">
        <v>6396102</v>
      </c>
      <c r="B1599" t="s">
        <v>1633</v>
      </c>
      <c r="C1599" t="str">
        <f>"9783658309190"</f>
        <v>9783658309190</v>
      </c>
      <c r="D1599" t="str">
        <f>"9783658309206"</f>
        <v>9783658309206</v>
      </c>
      <c r="E1599" t="s">
        <v>1391</v>
      </c>
      <c r="F1599" s="1">
        <v>44149</v>
      </c>
    </row>
    <row r="1600" spans="1:6" x14ac:dyDescent="0.25">
      <c r="A1600">
        <v>6396307</v>
      </c>
      <c r="B1600" t="s">
        <v>1634</v>
      </c>
      <c r="C1600" t="str">
        <f>""</f>
        <v/>
      </c>
      <c r="D1600" t="str">
        <f>"9789179297534"</f>
        <v>9789179297534</v>
      </c>
      <c r="E1600" t="s">
        <v>1268</v>
      </c>
      <c r="F1600" s="1">
        <v>44146</v>
      </c>
    </row>
    <row r="1601" spans="1:6" x14ac:dyDescent="0.25">
      <c r="A1601">
        <v>6396308</v>
      </c>
      <c r="B1601" t="s">
        <v>1635</v>
      </c>
    </row>
    <row r="1602" spans="1:6" x14ac:dyDescent="0.25">
      <c r="A1602">
        <v>6396309</v>
      </c>
      <c r="B1602" t="s">
        <v>1636</v>
      </c>
      <c r="C1602" t="str">
        <f>""</f>
        <v/>
      </c>
      <c r="D1602" t="str">
        <f>"9789179298098"</f>
        <v>9789179298098</v>
      </c>
      <c r="E1602" t="s">
        <v>1268</v>
      </c>
      <c r="F1602" s="1">
        <v>44146</v>
      </c>
    </row>
    <row r="1603" spans="1:6" x14ac:dyDescent="0.25">
      <c r="A1603">
        <v>6396950</v>
      </c>
      <c r="B1603" t="s">
        <v>1637</v>
      </c>
      <c r="C1603" t="str">
        <f>""</f>
        <v/>
      </c>
      <c r="D1603" t="str">
        <f>"9783111430157"</f>
        <v>9783111430157</v>
      </c>
      <c r="E1603" t="s">
        <v>73</v>
      </c>
      <c r="F1603" t="s">
        <v>1638</v>
      </c>
    </row>
    <row r="1604" spans="1:6" x14ac:dyDescent="0.25">
      <c r="A1604">
        <v>6402006</v>
      </c>
      <c r="B1604" t="s">
        <v>1639</v>
      </c>
      <c r="C1604" t="str">
        <f>""</f>
        <v/>
      </c>
      <c r="D1604" t="str">
        <f>"9789048551460"</f>
        <v>9789048551460</v>
      </c>
      <c r="E1604" t="s">
        <v>59</v>
      </c>
      <c r="F1604" s="1">
        <v>44105</v>
      </c>
    </row>
    <row r="1605" spans="1:6" x14ac:dyDescent="0.25">
      <c r="A1605">
        <v>6402066</v>
      </c>
      <c r="B1605" t="s">
        <v>1640</v>
      </c>
      <c r="C1605" t="str">
        <f>"9781789247954"</f>
        <v>9781789247954</v>
      </c>
      <c r="D1605" t="str">
        <f>"9781789247978"</f>
        <v>9781789247978</v>
      </c>
      <c r="E1605" t="s">
        <v>1534</v>
      </c>
      <c r="F1605" s="1">
        <v>44153</v>
      </c>
    </row>
    <row r="1606" spans="1:6" x14ac:dyDescent="0.25">
      <c r="A1606">
        <v>6402741</v>
      </c>
      <c r="B1606" t="s">
        <v>1641</v>
      </c>
      <c r="C1606" t="str">
        <f>"9781783749829"</f>
        <v>9781783749829</v>
      </c>
      <c r="D1606" t="str">
        <f>"9781783749836"</f>
        <v>9781783749836</v>
      </c>
      <c r="E1606" t="s">
        <v>580</v>
      </c>
      <c r="F1606" s="1">
        <v>44134</v>
      </c>
    </row>
    <row r="1607" spans="1:6" x14ac:dyDescent="0.25">
      <c r="A1607">
        <v>6402742</v>
      </c>
      <c r="B1607" t="s">
        <v>1642</v>
      </c>
      <c r="C1607" t="str">
        <f>"9781800640542"</f>
        <v>9781800640542</v>
      </c>
      <c r="D1607" t="str">
        <f>"9781800640559"</f>
        <v>9781800640559</v>
      </c>
      <c r="E1607" t="s">
        <v>580</v>
      </c>
      <c r="F1607" s="1">
        <v>44141</v>
      </c>
    </row>
    <row r="1608" spans="1:6" x14ac:dyDescent="0.25">
      <c r="A1608">
        <v>6402743</v>
      </c>
      <c r="B1608" t="s">
        <v>1643</v>
      </c>
      <c r="C1608" t="str">
        <f>"9781783748976"</f>
        <v>9781783748976</v>
      </c>
      <c r="D1608" t="str">
        <f>"9781783748983"</f>
        <v>9781783748983</v>
      </c>
      <c r="E1608" t="s">
        <v>580</v>
      </c>
      <c r="F1608" s="1">
        <v>44146</v>
      </c>
    </row>
    <row r="1609" spans="1:6" x14ac:dyDescent="0.25">
      <c r="A1609">
        <v>6403567</v>
      </c>
      <c r="B1609" t="s">
        <v>1644</v>
      </c>
      <c r="C1609" t="str">
        <f>"9783030612986"</f>
        <v>9783030612986</v>
      </c>
      <c r="D1609" t="str">
        <f>"9783030612993"</f>
        <v>9783030612993</v>
      </c>
      <c r="E1609" t="s">
        <v>756</v>
      </c>
      <c r="F1609" s="1">
        <v>44155</v>
      </c>
    </row>
    <row r="1610" spans="1:6" x14ac:dyDescent="0.25">
      <c r="A1610">
        <v>6403583</v>
      </c>
      <c r="B1610" t="s">
        <v>1645</v>
      </c>
      <c r="C1610" t="str">
        <f>"9789811576829"</f>
        <v>9789811576829</v>
      </c>
      <c r="D1610" t="str">
        <f>"9789811576836"</f>
        <v>9789811576836</v>
      </c>
      <c r="E1610" t="s">
        <v>1177</v>
      </c>
      <c r="F1610" s="1">
        <v>44155</v>
      </c>
    </row>
    <row r="1611" spans="1:6" x14ac:dyDescent="0.25">
      <c r="A1611">
        <v>6404589</v>
      </c>
      <c r="B1611" t="s">
        <v>1646</v>
      </c>
      <c r="C1611" t="str">
        <f>""</f>
        <v/>
      </c>
      <c r="D1611" t="str">
        <f>"9789179297909"</f>
        <v>9789179297909</v>
      </c>
      <c r="E1611" t="s">
        <v>1268</v>
      </c>
      <c r="F1611" s="1">
        <v>44151</v>
      </c>
    </row>
    <row r="1612" spans="1:6" x14ac:dyDescent="0.25">
      <c r="A1612">
        <v>6404590</v>
      </c>
      <c r="B1612" t="s">
        <v>1647</v>
      </c>
      <c r="C1612" t="str">
        <f>""</f>
        <v/>
      </c>
      <c r="D1612" t="str">
        <f>"9789179297688"</f>
        <v>9789179297688</v>
      </c>
      <c r="E1612" t="s">
        <v>1268</v>
      </c>
      <c r="F1612" s="1">
        <v>44151</v>
      </c>
    </row>
    <row r="1613" spans="1:6" x14ac:dyDescent="0.25">
      <c r="A1613">
        <v>6404591</v>
      </c>
      <c r="B1613" t="s">
        <v>1648</v>
      </c>
      <c r="C1613" t="str">
        <f>""</f>
        <v/>
      </c>
      <c r="D1613" t="str">
        <f>"9789179297824"</f>
        <v>9789179297824</v>
      </c>
      <c r="E1613" t="s">
        <v>1268</v>
      </c>
      <c r="F1613" s="1">
        <v>44152</v>
      </c>
    </row>
    <row r="1614" spans="1:6" x14ac:dyDescent="0.25">
      <c r="A1614">
        <v>6404592</v>
      </c>
      <c r="B1614" t="s">
        <v>1649</v>
      </c>
      <c r="C1614" t="str">
        <f>""</f>
        <v/>
      </c>
      <c r="D1614" t="str">
        <f>"9789179298050"</f>
        <v>9789179298050</v>
      </c>
      <c r="E1614" t="s">
        <v>1268</v>
      </c>
      <c r="F1614" s="1">
        <v>44152</v>
      </c>
    </row>
    <row r="1615" spans="1:6" x14ac:dyDescent="0.25">
      <c r="A1615">
        <v>6404593</v>
      </c>
      <c r="B1615" t="s">
        <v>1650</v>
      </c>
      <c r="C1615" t="str">
        <f>""</f>
        <v/>
      </c>
      <c r="D1615" t="str">
        <f>"9789179297503"</f>
        <v>9789179297503</v>
      </c>
      <c r="E1615" t="s">
        <v>1268</v>
      </c>
      <c r="F1615" s="1">
        <v>44155</v>
      </c>
    </row>
    <row r="1616" spans="1:6" x14ac:dyDescent="0.25">
      <c r="A1616">
        <v>6407544</v>
      </c>
      <c r="B1616" t="s">
        <v>1651</v>
      </c>
      <c r="C1616" t="str">
        <f>"9783030611835"</f>
        <v>9783030611835</v>
      </c>
      <c r="D1616" t="str">
        <f>"9783030611842"</f>
        <v>9783030611842</v>
      </c>
      <c r="E1616" t="s">
        <v>756</v>
      </c>
      <c r="F1616" s="1">
        <v>44159</v>
      </c>
    </row>
    <row r="1617" spans="1:6" x14ac:dyDescent="0.25">
      <c r="A1617">
        <v>6407566</v>
      </c>
      <c r="B1617" t="s">
        <v>1652</v>
      </c>
      <c r="C1617" t="str">
        <f>"9783030285609"</f>
        <v>9783030285609</v>
      </c>
      <c r="D1617" t="str">
        <f>"9783030285616"</f>
        <v>9783030285616</v>
      </c>
      <c r="E1617" t="s">
        <v>756</v>
      </c>
      <c r="F1617" s="1">
        <v>44159</v>
      </c>
    </row>
    <row r="1618" spans="1:6" x14ac:dyDescent="0.25">
      <c r="A1618">
        <v>6407583</v>
      </c>
      <c r="B1618" t="s">
        <v>1653</v>
      </c>
      <c r="C1618" t="str">
        <f>"9783030590307"</f>
        <v>9783030590307</v>
      </c>
      <c r="D1618" t="str">
        <f>"9783030590314"</f>
        <v>9783030590314</v>
      </c>
      <c r="E1618" t="s">
        <v>756</v>
      </c>
      <c r="F1618" s="1">
        <v>44159</v>
      </c>
    </row>
    <row r="1619" spans="1:6" x14ac:dyDescent="0.25">
      <c r="A1619">
        <v>6407613</v>
      </c>
      <c r="B1619" t="s">
        <v>1654</v>
      </c>
      <c r="C1619" t="str">
        <f>"9783030362829"</f>
        <v>9783030362829</v>
      </c>
      <c r="D1619" t="str">
        <f>"9783030362836"</f>
        <v>9783030362836</v>
      </c>
      <c r="E1619" t="s">
        <v>756</v>
      </c>
      <c r="F1619" s="1">
        <v>44159</v>
      </c>
    </row>
    <row r="1620" spans="1:6" x14ac:dyDescent="0.25">
      <c r="A1620">
        <v>6407626</v>
      </c>
      <c r="B1620" t="s">
        <v>1655</v>
      </c>
      <c r="C1620" t="str">
        <f>"9783662615836"</f>
        <v>9783662615836</v>
      </c>
      <c r="D1620" t="str">
        <f>"9783662615843"</f>
        <v>9783662615843</v>
      </c>
      <c r="E1620" t="s">
        <v>1416</v>
      </c>
      <c r="F1620" s="1">
        <v>44159</v>
      </c>
    </row>
    <row r="1621" spans="1:6" x14ac:dyDescent="0.25">
      <c r="A1621">
        <v>6407629</v>
      </c>
      <c r="B1621" t="s">
        <v>1656</v>
      </c>
      <c r="C1621" t="str">
        <f>"9783030626617"</f>
        <v>9783030626617</v>
      </c>
      <c r="D1621" t="str">
        <f>"9783030626624"</f>
        <v>9783030626624</v>
      </c>
      <c r="E1621" t="s">
        <v>756</v>
      </c>
      <c r="F1621" s="1">
        <v>44159</v>
      </c>
    </row>
    <row r="1622" spans="1:6" x14ac:dyDescent="0.25">
      <c r="A1622">
        <v>6407993</v>
      </c>
      <c r="B1622" t="s">
        <v>1657</v>
      </c>
      <c r="C1622" t="str">
        <f>"9783030601232"</f>
        <v>9783030601232</v>
      </c>
      <c r="D1622" t="str">
        <f>"9783030601249"</f>
        <v>9783030601249</v>
      </c>
      <c r="E1622" t="s">
        <v>756</v>
      </c>
      <c r="F1622" s="1">
        <v>44159</v>
      </c>
    </row>
    <row r="1623" spans="1:6" x14ac:dyDescent="0.25">
      <c r="A1623">
        <v>6416822</v>
      </c>
      <c r="B1623" t="s">
        <v>1658</v>
      </c>
      <c r="C1623" t="str">
        <f>"9781789241853"</f>
        <v>9781789241853</v>
      </c>
      <c r="D1623" t="str">
        <f>"9781789245585"</f>
        <v>9781789245585</v>
      </c>
      <c r="E1623" t="s">
        <v>1534</v>
      </c>
      <c r="F1623" s="1">
        <v>43855</v>
      </c>
    </row>
    <row r="1624" spans="1:6" x14ac:dyDescent="0.25">
      <c r="A1624">
        <v>6417073</v>
      </c>
      <c r="B1624" t="s">
        <v>1659</v>
      </c>
      <c r="C1624" t="str">
        <f>"9783030579371"</f>
        <v>9783030579371</v>
      </c>
      <c r="D1624" t="str">
        <f>"9783030579388"</f>
        <v>9783030579388</v>
      </c>
      <c r="E1624" t="s">
        <v>756</v>
      </c>
      <c r="F1624" s="1">
        <v>44166</v>
      </c>
    </row>
    <row r="1625" spans="1:6" x14ac:dyDescent="0.25">
      <c r="A1625">
        <v>6417076</v>
      </c>
      <c r="B1625" t="s">
        <v>1660</v>
      </c>
      <c r="C1625" t="str">
        <f>"9789811574962"</f>
        <v>9789811574962</v>
      </c>
      <c r="D1625" t="str">
        <f>"9789811574979"</f>
        <v>9789811574979</v>
      </c>
      <c r="E1625" t="s">
        <v>757</v>
      </c>
      <c r="F1625" s="1">
        <v>44166</v>
      </c>
    </row>
    <row r="1626" spans="1:6" x14ac:dyDescent="0.25">
      <c r="A1626">
        <v>6417096</v>
      </c>
      <c r="B1626" t="s">
        <v>1661</v>
      </c>
      <c r="C1626" t="str">
        <f>"9783030615116"</f>
        <v>9783030615116</v>
      </c>
      <c r="D1626" t="str">
        <f>"9783030615123"</f>
        <v>9783030615123</v>
      </c>
      <c r="E1626" t="s">
        <v>756</v>
      </c>
      <c r="F1626" s="1">
        <v>44166</v>
      </c>
    </row>
    <row r="1627" spans="1:6" x14ac:dyDescent="0.25">
      <c r="A1627">
        <v>6417097</v>
      </c>
      <c r="B1627" t="s">
        <v>1662</v>
      </c>
      <c r="C1627" t="str">
        <f>"9783662621943"</f>
        <v>9783662621943</v>
      </c>
      <c r="D1627" t="str">
        <f>"9783662621950"</f>
        <v>9783662621950</v>
      </c>
      <c r="E1627" t="s">
        <v>1416</v>
      </c>
      <c r="F1627" s="1">
        <v>44166</v>
      </c>
    </row>
    <row r="1628" spans="1:6" x14ac:dyDescent="0.25">
      <c r="A1628">
        <v>6417113</v>
      </c>
      <c r="B1628" t="s">
        <v>1663</v>
      </c>
      <c r="C1628" t="str">
        <f>"9783662615218"</f>
        <v>9783662615218</v>
      </c>
      <c r="D1628" t="str">
        <f>"9783662615225"</f>
        <v>9783662615225</v>
      </c>
      <c r="E1628" t="s">
        <v>1416</v>
      </c>
      <c r="F1628" s="1">
        <v>44148</v>
      </c>
    </row>
    <row r="1629" spans="1:6" x14ac:dyDescent="0.25">
      <c r="A1629">
        <v>6417118</v>
      </c>
      <c r="B1629" t="s">
        <v>1664</v>
      </c>
      <c r="C1629" t="str">
        <f>"9783030626686"</f>
        <v>9783030626686</v>
      </c>
      <c r="D1629" t="str">
        <f>"9783030626693"</f>
        <v>9783030626693</v>
      </c>
      <c r="E1629" t="s">
        <v>756</v>
      </c>
      <c r="F1629" s="1">
        <v>44166</v>
      </c>
    </row>
    <row r="1630" spans="1:6" x14ac:dyDescent="0.25">
      <c r="A1630">
        <v>6417126</v>
      </c>
      <c r="B1630" t="s">
        <v>1665</v>
      </c>
      <c r="C1630" t="str">
        <f>"9783658318208"</f>
        <v>9783658318208</v>
      </c>
      <c r="D1630" t="str">
        <f>"9783658318215"</f>
        <v>9783658318215</v>
      </c>
      <c r="E1630" t="s">
        <v>1391</v>
      </c>
      <c r="F1630" s="1">
        <v>44197</v>
      </c>
    </row>
    <row r="1631" spans="1:6" x14ac:dyDescent="0.25">
      <c r="A1631">
        <v>6417135</v>
      </c>
      <c r="B1631" t="s">
        <v>1666</v>
      </c>
      <c r="C1631" t="str">
        <f>"9783030555399"</f>
        <v>9783030555399</v>
      </c>
      <c r="D1631" t="str">
        <f>"9783030555405"</f>
        <v>9783030555405</v>
      </c>
      <c r="E1631" t="s">
        <v>756</v>
      </c>
      <c r="F1631" s="1">
        <v>44166</v>
      </c>
    </row>
    <row r="1632" spans="1:6" x14ac:dyDescent="0.25">
      <c r="A1632">
        <v>6419193</v>
      </c>
      <c r="B1632" t="s">
        <v>1667</v>
      </c>
      <c r="C1632" t="str">
        <f>"9781641893770"</f>
        <v>9781641893770</v>
      </c>
      <c r="D1632" t="str">
        <f>"9781641893787"</f>
        <v>9781641893787</v>
      </c>
      <c r="E1632" t="s">
        <v>1186</v>
      </c>
      <c r="F1632" s="1">
        <v>43982</v>
      </c>
    </row>
    <row r="1633" spans="1:6" x14ac:dyDescent="0.25">
      <c r="A1633">
        <v>6420681</v>
      </c>
      <c r="B1633" t="s">
        <v>1668</v>
      </c>
      <c r="C1633" t="str">
        <f>"9783030498245"</f>
        <v>9783030498245</v>
      </c>
      <c r="D1633" t="str">
        <f>"9783030498252"</f>
        <v>9783030498252</v>
      </c>
      <c r="E1633" t="s">
        <v>756</v>
      </c>
      <c r="F1633" s="1">
        <v>44169</v>
      </c>
    </row>
    <row r="1634" spans="1:6" x14ac:dyDescent="0.25">
      <c r="A1634">
        <v>6420687</v>
      </c>
      <c r="B1634" t="s">
        <v>1669</v>
      </c>
      <c r="C1634" t="str">
        <f>"9783030586164"</f>
        <v>9783030586164</v>
      </c>
      <c r="D1634" t="str">
        <f>"9783030586171"</f>
        <v>9783030586171</v>
      </c>
      <c r="E1634" t="s">
        <v>756</v>
      </c>
      <c r="F1634" s="1">
        <v>44169</v>
      </c>
    </row>
    <row r="1635" spans="1:6" x14ac:dyDescent="0.25">
      <c r="A1635">
        <v>6420690</v>
      </c>
      <c r="B1635" t="s">
        <v>1670</v>
      </c>
      <c r="C1635" t="str">
        <f>"9789462654181"</f>
        <v>9789462654181</v>
      </c>
      <c r="D1635" t="str">
        <f>"9789462654198"</f>
        <v>9789462654198</v>
      </c>
      <c r="E1635" t="s">
        <v>1671</v>
      </c>
      <c r="F1635" s="1">
        <v>44169</v>
      </c>
    </row>
    <row r="1636" spans="1:6" x14ac:dyDescent="0.25">
      <c r="A1636">
        <v>6420694</v>
      </c>
      <c r="B1636" t="s">
        <v>1672</v>
      </c>
      <c r="C1636" t="str">
        <f>"9783030579265"</f>
        <v>9783030579265</v>
      </c>
      <c r="D1636" t="str">
        <f>"9783030579272"</f>
        <v>9783030579272</v>
      </c>
      <c r="E1636" t="s">
        <v>756</v>
      </c>
      <c r="F1636" s="1">
        <v>44169</v>
      </c>
    </row>
    <row r="1637" spans="1:6" x14ac:dyDescent="0.25">
      <c r="A1637">
        <v>6420716</v>
      </c>
      <c r="B1637" t="s">
        <v>1673</v>
      </c>
      <c r="C1637" t="str">
        <f>"9789811597848"</f>
        <v>9789811597848</v>
      </c>
      <c r="D1637" t="str">
        <f>"9789811597855"</f>
        <v>9789811597855</v>
      </c>
      <c r="E1637" t="s">
        <v>1177</v>
      </c>
      <c r="F1637" s="1">
        <v>44169</v>
      </c>
    </row>
    <row r="1638" spans="1:6" x14ac:dyDescent="0.25">
      <c r="A1638">
        <v>6421889</v>
      </c>
      <c r="B1638" t="s">
        <v>1674</v>
      </c>
      <c r="C1638" t="str">
        <f>"9783662621783"</f>
        <v>9783662621783</v>
      </c>
      <c r="D1638" t="str">
        <f>"9783662621790"</f>
        <v>9783662621790</v>
      </c>
      <c r="E1638" t="s">
        <v>1416</v>
      </c>
      <c r="F1638" s="1">
        <v>44173</v>
      </c>
    </row>
    <row r="1639" spans="1:6" x14ac:dyDescent="0.25">
      <c r="A1639">
        <v>6422500</v>
      </c>
      <c r="B1639" t="s">
        <v>1675</v>
      </c>
      <c r="C1639" t="str">
        <f>"9783319633053"</f>
        <v>9783319633053</v>
      </c>
      <c r="D1639" t="str">
        <f>"9783319633060"</f>
        <v>9783319633060</v>
      </c>
      <c r="E1639" t="s">
        <v>756</v>
      </c>
      <c r="F1639" s="1">
        <v>43234</v>
      </c>
    </row>
    <row r="1640" spans="1:6" x14ac:dyDescent="0.25">
      <c r="A1640">
        <v>6422501</v>
      </c>
      <c r="B1640" t="s">
        <v>1676</v>
      </c>
      <c r="C1640" t="str">
        <f>"9789812872449"</f>
        <v>9789812872449</v>
      </c>
      <c r="D1640" t="str">
        <f>"9789812872456"</f>
        <v>9789812872456</v>
      </c>
      <c r="E1640" t="s">
        <v>1177</v>
      </c>
      <c r="F1640" s="1">
        <v>41960</v>
      </c>
    </row>
    <row r="1641" spans="1:6" x14ac:dyDescent="0.25">
      <c r="A1641">
        <v>6422502</v>
      </c>
      <c r="B1641" t="s">
        <v>1677</v>
      </c>
      <c r="C1641" t="str">
        <f>"9783319296548"</f>
        <v>9783319296548</v>
      </c>
      <c r="D1641" t="str">
        <f>"9783319296555"</f>
        <v>9783319296555</v>
      </c>
      <c r="E1641" t="s">
        <v>756</v>
      </c>
      <c r="F1641" s="1">
        <v>42473</v>
      </c>
    </row>
    <row r="1642" spans="1:6" x14ac:dyDescent="0.25">
      <c r="A1642">
        <v>6422503</v>
      </c>
      <c r="B1642" t="s">
        <v>1678</v>
      </c>
      <c r="C1642" t="str">
        <f>"9781137476647"</f>
        <v>9781137476647</v>
      </c>
      <c r="D1642" t="str">
        <f>"9781137476661"</f>
        <v>9781137476661</v>
      </c>
      <c r="E1642" t="s">
        <v>1465</v>
      </c>
      <c r="F1642" s="1">
        <v>41915</v>
      </c>
    </row>
    <row r="1643" spans="1:6" x14ac:dyDescent="0.25">
      <c r="A1643">
        <v>6422506</v>
      </c>
      <c r="B1643" t="s">
        <v>1679</v>
      </c>
      <c r="C1643" t="str">
        <f>"9783319397436"</f>
        <v>9783319397436</v>
      </c>
      <c r="D1643" t="str">
        <f>"9783319397450"</f>
        <v>9783319397450</v>
      </c>
      <c r="E1643" t="s">
        <v>756</v>
      </c>
      <c r="F1643" s="1">
        <v>42633</v>
      </c>
    </row>
    <row r="1644" spans="1:6" x14ac:dyDescent="0.25">
      <c r="A1644">
        <v>6422507</v>
      </c>
      <c r="B1644" t="s">
        <v>1680</v>
      </c>
      <c r="C1644" t="str">
        <f>"9784431543930"</f>
        <v>9784431543930</v>
      </c>
      <c r="D1644" t="str">
        <f>"9784431543947"</f>
        <v>9784431543947</v>
      </c>
      <c r="E1644" t="s">
        <v>1401</v>
      </c>
      <c r="F1644" s="1">
        <v>41375</v>
      </c>
    </row>
    <row r="1645" spans="1:6" x14ac:dyDescent="0.25">
      <c r="A1645">
        <v>6422508</v>
      </c>
      <c r="B1645" t="s">
        <v>1681</v>
      </c>
      <c r="C1645" t="str">
        <f>"9789811060106"</f>
        <v>9789811060106</v>
      </c>
      <c r="D1645" t="str">
        <f>"9789811060113"</f>
        <v>9789811060113</v>
      </c>
      <c r="E1645" t="s">
        <v>1177</v>
      </c>
      <c r="F1645" s="1">
        <v>43045</v>
      </c>
    </row>
    <row r="1646" spans="1:6" x14ac:dyDescent="0.25">
      <c r="A1646">
        <v>6422509</v>
      </c>
      <c r="B1646" t="s">
        <v>1682</v>
      </c>
      <c r="C1646" t="str">
        <f>"9783319425887"</f>
        <v>9783319425887</v>
      </c>
      <c r="D1646" t="str">
        <f>"9783319425894"</f>
        <v>9783319425894</v>
      </c>
      <c r="E1646" t="s">
        <v>756</v>
      </c>
      <c r="F1646" s="1">
        <v>42597</v>
      </c>
    </row>
    <row r="1647" spans="1:6" x14ac:dyDescent="0.25">
      <c r="A1647">
        <v>6422510</v>
      </c>
      <c r="B1647" t="s">
        <v>1683</v>
      </c>
      <c r="C1647" t="str">
        <f>"9783030111489"</f>
        <v>9783030111489</v>
      </c>
      <c r="D1647" t="str">
        <f>"9783030111496"</f>
        <v>9783030111496</v>
      </c>
      <c r="E1647" t="s">
        <v>756</v>
      </c>
      <c r="F1647" s="1">
        <v>43530</v>
      </c>
    </row>
    <row r="1648" spans="1:6" x14ac:dyDescent="0.25">
      <c r="A1648">
        <v>6422511</v>
      </c>
      <c r="B1648" t="s">
        <v>1684</v>
      </c>
      <c r="C1648" t="str">
        <f>"9783319429687"</f>
        <v>9783319429687</v>
      </c>
      <c r="D1648" t="str">
        <f>"9783319429700"</f>
        <v>9783319429700</v>
      </c>
      <c r="E1648" t="s">
        <v>756</v>
      </c>
      <c r="F1648" s="1">
        <v>42719</v>
      </c>
    </row>
    <row r="1649" spans="1:6" x14ac:dyDescent="0.25">
      <c r="A1649">
        <v>6422512</v>
      </c>
      <c r="B1649" t="s">
        <v>1685</v>
      </c>
      <c r="C1649" t="str">
        <f>"9783319620176"</f>
        <v>9783319620176</v>
      </c>
      <c r="D1649" t="str">
        <f>"9783319620183"</f>
        <v>9783319620183</v>
      </c>
      <c r="E1649" t="s">
        <v>756</v>
      </c>
      <c r="F1649" s="1">
        <v>43084</v>
      </c>
    </row>
    <row r="1650" spans="1:6" x14ac:dyDescent="0.25">
      <c r="A1650">
        <v>6422513</v>
      </c>
      <c r="B1650" t="s">
        <v>1686</v>
      </c>
      <c r="C1650" t="str">
        <f>"9781430263555"</f>
        <v>9781430263555</v>
      </c>
      <c r="D1650" t="str">
        <f>"9781430263562"</f>
        <v>9781430263562</v>
      </c>
      <c r="E1650" t="s">
        <v>1604</v>
      </c>
      <c r="F1650" s="1">
        <v>41666</v>
      </c>
    </row>
    <row r="1651" spans="1:6" x14ac:dyDescent="0.25">
      <c r="A1651">
        <v>6422514</v>
      </c>
      <c r="B1651" t="s">
        <v>1687</v>
      </c>
      <c r="C1651" t="str">
        <f>"9781484201015"</f>
        <v>9781484201015</v>
      </c>
      <c r="D1651" t="str">
        <f>"9781484201008"</f>
        <v>9781484201008</v>
      </c>
      <c r="E1651" t="s">
        <v>1604</v>
      </c>
      <c r="F1651" s="1">
        <v>41878</v>
      </c>
    </row>
    <row r="1652" spans="1:6" x14ac:dyDescent="0.25">
      <c r="A1652">
        <v>6422515</v>
      </c>
      <c r="B1652" t="s">
        <v>1688</v>
      </c>
      <c r="C1652" t="str">
        <f>"9783319316215"</f>
        <v>9783319316215</v>
      </c>
      <c r="D1652" t="str">
        <f>"9783319316222"</f>
        <v>9783319316222</v>
      </c>
      <c r="E1652" t="s">
        <v>756</v>
      </c>
      <c r="F1652" s="1">
        <v>42572</v>
      </c>
    </row>
    <row r="1653" spans="1:6" x14ac:dyDescent="0.25">
      <c r="A1653">
        <v>6422516</v>
      </c>
      <c r="B1653" t="s">
        <v>1689</v>
      </c>
      <c r="C1653" t="str">
        <f>"9783319951287"</f>
        <v>9783319951287</v>
      </c>
      <c r="D1653" t="str">
        <f>"9783319951294"</f>
        <v>9783319951294</v>
      </c>
      <c r="E1653" t="s">
        <v>756</v>
      </c>
      <c r="F1653" s="1">
        <v>43383</v>
      </c>
    </row>
    <row r="1654" spans="1:6" x14ac:dyDescent="0.25">
      <c r="A1654">
        <v>6422517</v>
      </c>
      <c r="B1654" t="s">
        <v>1690</v>
      </c>
      <c r="C1654" t="str">
        <f>"9783658043230"</f>
        <v>9783658043230</v>
      </c>
      <c r="D1654" t="str">
        <f>"9783658043247"</f>
        <v>9783658043247</v>
      </c>
      <c r="E1654" t="s">
        <v>1391</v>
      </c>
      <c r="F1654" s="1">
        <v>41796</v>
      </c>
    </row>
    <row r="1655" spans="1:6" x14ac:dyDescent="0.25">
      <c r="A1655">
        <v>6422518</v>
      </c>
      <c r="B1655" t="s">
        <v>1691</v>
      </c>
      <c r="C1655" t="str">
        <f>"9783658262051"</f>
        <v>9783658262051</v>
      </c>
      <c r="D1655" t="str">
        <f>"9783658262068"</f>
        <v>9783658262068</v>
      </c>
      <c r="E1655" t="s">
        <v>1692</v>
      </c>
      <c r="F1655" s="1">
        <v>43593</v>
      </c>
    </row>
    <row r="1656" spans="1:6" x14ac:dyDescent="0.25">
      <c r="A1656">
        <v>6422519</v>
      </c>
      <c r="B1656" t="s">
        <v>1693</v>
      </c>
      <c r="C1656" t="str">
        <f>"9783662594650"</f>
        <v>9783662594650</v>
      </c>
      <c r="D1656" t="str">
        <f>"9783662594667"</f>
        <v>9783662594667</v>
      </c>
      <c r="E1656" t="s">
        <v>1416</v>
      </c>
      <c r="F1656" s="1">
        <v>43770</v>
      </c>
    </row>
    <row r="1657" spans="1:6" x14ac:dyDescent="0.25">
      <c r="A1657">
        <v>6422520</v>
      </c>
      <c r="B1657" t="s">
        <v>1694</v>
      </c>
      <c r="C1657" t="str">
        <f>"9783319160054"</f>
        <v>9783319160054</v>
      </c>
      <c r="D1657" t="str">
        <f>"9783319160061"</f>
        <v>9783319160061</v>
      </c>
      <c r="E1657" t="s">
        <v>756</v>
      </c>
      <c r="F1657" s="1">
        <v>42114</v>
      </c>
    </row>
    <row r="1658" spans="1:6" x14ac:dyDescent="0.25">
      <c r="A1658">
        <v>6422521</v>
      </c>
      <c r="B1658" t="s">
        <v>1695</v>
      </c>
      <c r="C1658" t="str">
        <f>"9783319595184"</f>
        <v>9783319595184</v>
      </c>
      <c r="D1658" t="str">
        <f>"9783319595191"</f>
        <v>9783319595191</v>
      </c>
      <c r="E1658" t="s">
        <v>756</v>
      </c>
      <c r="F1658" s="1">
        <v>42944</v>
      </c>
    </row>
    <row r="1659" spans="1:6" x14ac:dyDescent="0.25">
      <c r="A1659">
        <v>6422522</v>
      </c>
      <c r="B1659" t="s">
        <v>1696</v>
      </c>
      <c r="C1659" t="str">
        <f>"9783642280115"</f>
        <v>9783642280115</v>
      </c>
      <c r="D1659" t="str">
        <f>"9783642280122"</f>
        <v>9783642280122</v>
      </c>
      <c r="E1659" t="s">
        <v>1416</v>
      </c>
      <c r="F1659" s="1">
        <v>41535</v>
      </c>
    </row>
    <row r="1660" spans="1:6" x14ac:dyDescent="0.25">
      <c r="A1660">
        <v>6422523</v>
      </c>
      <c r="B1660" t="s">
        <v>1697</v>
      </c>
      <c r="C1660" t="str">
        <f>"9784431558477"</f>
        <v>9784431558477</v>
      </c>
      <c r="D1660" t="str">
        <f>"9784431558484"</f>
        <v>9784431558484</v>
      </c>
      <c r="E1660" t="s">
        <v>1401</v>
      </c>
      <c r="F1660" s="1">
        <v>42388</v>
      </c>
    </row>
    <row r="1661" spans="1:6" x14ac:dyDescent="0.25">
      <c r="A1661">
        <v>6422524</v>
      </c>
      <c r="B1661" t="s">
        <v>1698</v>
      </c>
      <c r="C1661" t="str">
        <f>"9783319123035"</f>
        <v>9783319123035</v>
      </c>
      <c r="D1661" t="str">
        <f>"9783319123042"</f>
        <v>9783319123042</v>
      </c>
      <c r="E1661" t="s">
        <v>756</v>
      </c>
      <c r="F1661" s="1">
        <v>41976</v>
      </c>
    </row>
    <row r="1662" spans="1:6" x14ac:dyDescent="0.25">
      <c r="A1662">
        <v>6422525</v>
      </c>
      <c r="B1662" t="s">
        <v>1699</v>
      </c>
      <c r="C1662" t="str">
        <f>"9781430261452"</f>
        <v>9781430261452</v>
      </c>
      <c r="D1662" t="str">
        <f>"9781430261469"</f>
        <v>9781430261469</v>
      </c>
      <c r="E1662" t="s">
        <v>1604</v>
      </c>
      <c r="F1662" s="1">
        <v>41729</v>
      </c>
    </row>
    <row r="1663" spans="1:6" x14ac:dyDescent="0.25">
      <c r="A1663">
        <v>6422526</v>
      </c>
      <c r="B1663" t="s">
        <v>1700</v>
      </c>
      <c r="C1663" t="str">
        <f>"9783662557068"</f>
        <v>9783662557068</v>
      </c>
      <c r="D1663" t="str">
        <f>"9783662557075"</f>
        <v>9783662557075</v>
      </c>
      <c r="E1663" t="s">
        <v>1416</v>
      </c>
      <c r="F1663" s="1">
        <v>43227</v>
      </c>
    </row>
    <row r="1664" spans="1:6" x14ac:dyDescent="0.25">
      <c r="A1664">
        <v>6422527</v>
      </c>
      <c r="B1664" t="s">
        <v>1701</v>
      </c>
      <c r="C1664" t="str">
        <f>"9783658144135"</f>
        <v>9783658144135</v>
      </c>
      <c r="D1664" t="str">
        <f>"9783658144142"</f>
        <v>9783658144142</v>
      </c>
      <c r="E1664" t="s">
        <v>1391</v>
      </c>
      <c r="F1664" s="1">
        <v>42690</v>
      </c>
    </row>
    <row r="1665" spans="1:6" x14ac:dyDescent="0.25">
      <c r="A1665">
        <v>6422528</v>
      </c>
      <c r="B1665" t="s">
        <v>1702</v>
      </c>
      <c r="C1665" t="str">
        <f>"9783662557044"</f>
        <v>9783662557044</v>
      </c>
      <c r="D1665" t="str">
        <f>"9783662557051"</f>
        <v>9783662557051</v>
      </c>
      <c r="E1665" t="s">
        <v>1416</v>
      </c>
      <c r="F1665" s="1">
        <v>43216</v>
      </c>
    </row>
    <row r="1666" spans="1:6" x14ac:dyDescent="0.25">
      <c r="A1666">
        <v>6422529</v>
      </c>
      <c r="B1666" t="s">
        <v>1703</v>
      </c>
      <c r="C1666" t="str">
        <f>"9783319635903"</f>
        <v>9783319635903</v>
      </c>
      <c r="D1666" t="str">
        <f>"9783319635910"</f>
        <v>9783319635910</v>
      </c>
      <c r="E1666" t="s">
        <v>756</v>
      </c>
      <c r="F1666" s="1">
        <v>43264</v>
      </c>
    </row>
    <row r="1667" spans="1:6" x14ac:dyDescent="0.25">
      <c r="A1667">
        <v>6422530</v>
      </c>
      <c r="B1667" t="s">
        <v>1704</v>
      </c>
      <c r="C1667" t="str">
        <f>""</f>
        <v/>
      </c>
      <c r="D1667" t="str">
        <f>"9788132220145"</f>
        <v>9788132220145</v>
      </c>
      <c r="E1667" t="s">
        <v>1705</v>
      </c>
      <c r="F1667" s="1">
        <v>41976</v>
      </c>
    </row>
    <row r="1668" spans="1:6" x14ac:dyDescent="0.25">
      <c r="A1668">
        <v>6422531</v>
      </c>
      <c r="B1668" t="s">
        <v>1706</v>
      </c>
      <c r="C1668" t="str">
        <f>"9789400775954"</f>
        <v>9789400775954</v>
      </c>
      <c r="D1668" t="str">
        <f>"9789400775961"</f>
        <v>9789400775961</v>
      </c>
      <c r="E1668" t="s">
        <v>1458</v>
      </c>
      <c r="F1668" s="1">
        <v>41617</v>
      </c>
    </row>
    <row r="1669" spans="1:6" x14ac:dyDescent="0.25">
      <c r="A1669">
        <v>6422532</v>
      </c>
      <c r="B1669" t="s">
        <v>1707</v>
      </c>
      <c r="C1669" t="str">
        <f>"9784431548645"</f>
        <v>9784431548645</v>
      </c>
      <c r="D1669" t="str">
        <f>"9784431548652"</f>
        <v>9784431548652</v>
      </c>
      <c r="E1669" t="s">
        <v>1401</v>
      </c>
      <c r="F1669" s="1">
        <v>42033</v>
      </c>
    </row>
    <row r="1670" spans="1:6" x14ac:dyDescent="0.25">
      <c r="A1670">
        <v>6422533</v>
      </c>
      <c r="B1670" t="s">
        <v>1708</v>
      </c>
      <c r="C1670" t="str">
        <f>"9783319459752"</f>
        <v>9783319459752</v>
      </c>
      <c r="D1670" t="str">
        <f>"9783319459776"</f>
        <v>9783319459776</v>
      </c>
      <c r="E1670" t="s">
        <v>756</v>
      </c>
      <c r="F1670" s="1">
        <v>43005</v>
      </c>
    </row>
    <row r="1671" spans="1:6" x14ac:dyDescent="0.25">
      <c r="A1671">
        <v>6422534</v>
      </c>
      <c r="B1671" t="s">
        <v>1709</v>
      </c>
      <c r="C1671" t="str">
        <f>"9783030499693"</f>
        <v>9783030499693</v>
      </c>
      <c r="D1671" t="str">
        <f>"9783030499709"</f>
        <v>9783030499709</v>
      </c>
      <c r="E1671" t="s">
        <v>756</v>
      </c>
      <c r="F1671" s="1">
        <v>44175</v>
      </c>
    </row>
    <row r="1672" spans="1:6" x14ac:dyDescent="0.25">
      <c r="A1672">
        <v>6422535</v>
      </c>
      <c r="B1672" t="s">
        <v>1710</v>
      </c>
      <c r="C1672" t="str">
        <f>"9783319137544"</f>
        <v>9783319137544</v>
      </c>
      <c r="D1672" t="str">
        <f>"9783319137551"</f>
        <v>9783319137551</v>
      </c>
      <c r="E1672" t="s">
        <v>756</v>
      </c>
      <c r="F1672" s="1">
        <v>42132</v>
      </c>
    </row>
    <row r="1673" spans="1:6" x14ac:dyDescent="0.25">
      <c r="A1673">
        <v>6422536</v>
      </c>
      <c r="B1673" t="s">
        <v>1711</v>
      </c>
      <c r="C1673" t="str">
        <f>"9783319286235"</f>
        <v>9783319286235</v>
      </c>
      <c r="D1673" t="str">
        <f>"9783319286242"</f>
        <v>9783319286242</v>
      </c>
      <c r="E1673" t="s">
        <v>756</v>
      </c>
      <c r="F1673" s="1">
        <v>42450</v>
      </c>
    </row>
    <row r="1674" spans="1:6" x14ac:dyDescent="0.25">
      <c r="A1674">
        <v>6422537</v>
      </c>
      <c r="B1674" t="s">
        <v>1712</v>
      </c>
      <c r="C1674" t="str">
        <f>"9789811312137"</f>
        <v>9789811312137</v>
      </c>
      <c r="D1674" t="str">
        <f>"9789811312144"</f>
        <v>9789811312144</v>
      </c>
      <c r="E1674" t="s">
        <v>1177</v>
      </c>
      <c r="F1674" s="1">
        <v>43399</v>
      </c>
    </row>
    <row r="1675" spans="1:6" x14ac:dyDescent="0.25">
      <c r="A1675">
        <v>6422538</v>
      </c>
      <c r="B1675" t="s">
        <v>1713</v>
      </c>
      <c r="C1675" t="str">
        <f>"9783319038193"</f>
        <v>9783319038193</v>
      </c>
      <c r="D1675" t="str">
        <f>"9783319038209"</f>
        <v>9783319038209</v>
      </c>
      <c r="E1675" t="s">
        <v>756</v>
      </c>
      <c r="F1675" s="1">
        <v>42212</v>
      </c>
    </row>
    <row r="1676" spans="1:6" x14ac:dyDescent="0.25">
      <c r="A1676">
        <v>6422539</v>
      </c>
      <c r="B1676" t="s">
        <v>1714</v>
      </c>
      <c r="C1676" t="str">
        <f>"9783319511573"</f>
        <v>9783319511573</v>
      </c>
      <c r="D1676" t="str">
        <f>"9783319511597"</f>
        <v>9783319511597</v>
      </c>
      <c r="E1676" t="s">
        <v>756</v>
      </c>
      <c r="F1676" s="1">
        <v>42867</v>
      </c>
    </row>
    <row r="1677" spans="1:6" x14ac:dyDescent="0.25">
      <c r="A1677">
        <v>6422540</v>
      </c>
      <c r="B1677" t="s">
        <v>1715</v>
      </c>
      <c r="C1677" t="str">
        <f>"9784431555575"</f>
        <v>9784431555575</v>
      </c>
      <c r="D1677" t="str">
        <f>"9784431555582"</f>
        <v>9784431555582</v>
      </c>
      <c r="E1677" t="s">
        <v>1401</v>
      </c>
      <c r="F1677" s="1">
        <v>42241</v>
      </c>
    </row>
    <row r="1678" spans="1:6" x14ac:dyDescent="0.25">
      <c r="A1678">
        <v>6422541</v>
      </c>
      <c r="B1678" t="s">
        <v>1716</v>
      </c>
      <c r="C1678" t="str">
        <f>"9783642280085"</f>
        <v>9783642280085</v>
      </c>
      <c r="D1678" t="str">
        <f>"9783642280092"</f>
        <v>9783642280092</v>
      </c>
      <c r="E1678" t="s">
        <v>1416</v>
      </c>
      <c r="F1678" s="1">
        <v>41167</v>
      </c>
    </row>
    <row r="1679" spans="1:6" x14ac:dyDescent="0.25">
      <c r="A1679">
        <v>6422542</v>
      </c>
      <c r="B1679" t="s">
        <v>1717</v>
      </c>
      <c r="C1679" t="str">
        <f>"9781430263821"</f>
        <v>9781430263821</v>
      </c>
      <c r="D1679" t="str">
        <f>"9781430263838"</f>
        <v>9781430263838</v>
      </c>
      <c r="E1679" t="s">
        <v>1604</v>
      </c>
      <c r="F1679" s="1">
        <v>41881</v>
      </c>
    </row>
    <row r="1680" spans="1:6" x14ac:dyDescent="0.25">
      <c r="A1680">
        <v>6422543</v>
      </c>
      <c r="B1680" t="s">
        <v>1718</v>
      </c>
      <c r="C1680" t="str">
        <f>"9783658093761"</f>
        <v>9783658093761</v>
      </c>
      <c r="D1680" t="str">
        <f>"9783658093778"</f>
        <v>9783658093778</v>
      </c>
      <c r="E1680" t="s">
        <v>1391</v>
      </c>
      <c r="F1680" s="1">
        <v>42706</v>
      </c>
    </row>
    <row r="1681" spans="1:6" x14ac:dyDescent="0.25">
      <c r="A1681">
        <v>6422546</v>
      </c>
      <c r="B1681" t="s">
        <v>1719</v>
      </c>
      <c r="C1681" t="str">
        <f>"9783319442716"</f>
        <v>9783319442716</v>
      </c>
      <c r="D1681" t="str">
        <f>"9783319442723"</f>
        <v>9783319442723</v>
      </c>
      <c r="E1681" t="s">
        <v>756</v>
      </c>
      <c r="F1681" s="1">
        <v>42632</v>
      </c>
    </row>
    <row r="1682" spans="1:6" x14ac:dyDescent="0.25">
      <c r="A1682">
        <v>6422548</v>
      </c>
      <c r="B1682" t="s">
        <v>1720</v>
      </c>
      <c r="C1682" t="str">
        <f>"9783319045993"</f>
        <v>9783319045993</v>
      </c>
      <c r="D1682" t="str">
        <f>"9783319046006"</f>
        <v>9783319046006</v>
      </c>
      <c r="E1682" t="s">
        <v>756</v>
      </c>
      <c r="F1682" s="1">
        <v>42633</v>
      </c>
    </row>
    <row r="1683" spans="1:6" x14ac:dyDescent="0.25">
      <c r="A1683">
        <v>6422549</v>
      </c>
      <c r="B1683" t="s">
        <v>1721</v>
      </c>
      <c r="C1683" t="str">
        <f>"9783319909530"</f>
        <v>9783319909530</v>
      </c>
      <c r="D1683" t="str">
        <f>"9783319909554"</f>
        <v>9783319909554</v>
      </c>
      <c r="E1683" t="s">
        <v>756</v>
      </c>
      <c r="F1683" s="1">
        <v>43367</v>
      </c>
    </row>
    <row r="1684" spans="1:6" x14ac:dyDescent="0.25">
      <c r="A1684">
        <v>6422550</v>
      </c>
      <c r="B1684" t="s">
        <v>1722</v>
      </c>
      <c r="C1684" t="str">
        <f>"9789811040702"</f>
        <v>9789811040702</v>
      </c>
      <c r="D1684" t="str">
        <f>"9789811040719"</f>
        <v>9789811040719</v>
      </c>
      <c r="E1684" t="s">
        <v>1177</v>
      </c>
      <c r="F1684" s="1">
        <v>42909</v>
      </c>
    </row>
    <row r="1685" spans="1:6" x14ac:dyDescent="0.25">
      <c r="A1685">
        <v>6422551</v>
      </c>
      <c r="B1685" t="s">
        <v>1723</v>
      </c>
      <c r="C1685" t="str">
        <f>"9783030526887"</f>
        <v>9783030526887</v>
      </c>
      <c r="D1685" t="str">
        <f>"9783030526894"</f>
        <v>9783030526894</v>
      </c>
      <c r="E1685" t="s">
        <v>756</v>
      </c>
      <c r="F1685" s="1">
        <v>44175</v>
      </c>
    </row>
    <row r="1686" spans="1:6" x14ac:dyDescent="0.25">
      <c r="A1686">
        <v>6422552</v>
      </c>
      <c r="B1686" t="s">
        <v>1724</v>
      </c>
      <c r="C1686" t="str">
        <f>"9783030548940"</f>
        <v>9783030548940</v>
      </c>
      <c r="D1686" t="str">
        <f>"9783030548957"</f>
        <v>9783030548957</v>
      </c>
      <c r="E1686" t="s">
        <v>756</v>
      </c>
      <c r="F1686" s="1">
        <v>44175</v>
      </c>
    </row>
    <row r="1687" spans="1:6" x14ac:dyDescent="0.25">
      <c r="A1687">
        <v>6422553</v>
      </c>
      <c r="B1687" t="s">
        <v>1725</v>
      </c>
      <c r="C1687" t="str">
        <f>"9781430266372"</f>
        <v>9781430266372</v>
      </c>
      <c r="D1687" t="str">
        <f>"9781430266389"</f>
        <v>9781430266389</v>
      </c>
      <c r="E1687" t="s">
        <v>1604</v>
      </c>
      <c r="F1687" s="1">
        <v>42091</v>
      </c>
    </row>
    <row r="1688" spans="1:6" x14ac:dyDescent="0.25">
      <c r="A1688">
        <v>6422554</v>
      </c>
      <c r="B1688" t="s">
        <v>1726</v>
      </c>
      <c r="C1688" t="str">
        <f>"9783642546778"</f>
        <v>9783642546778</v>
      </c>
      <c r="D1688" t="str">
        <f>"9783642546785"</f>
        <v>9783642546785</v>
      </c>
      <c r="E1688" t="s">
        <v>1416</v>
      </c>
      <c r="F1688" s="1">
        <v>41844</v>
      </c>
    </row>
    <row r="1689" spans="1:6" x14ac:dyDescent="0.25">
      <c r="A1689">
        <v>6422555</v>
      </c>
      <c r="B1689" t="s">
        <v>1727</v>
      </c>
      <c r="C1689" t="str">
        <f>"9783319510422"</f>
        <v>9783319510422</v>
      </c>
      <c r="D1689" t="str">
        <f>"9783319510439"</f>
        <v>9783319510439</v>
      </c>
      <c r="E1689" t="s">
        <v>756</v>
      </c>
      <c r="F1689" s="1">
        <v>42783</v>
      </c>
    </row>
    <row r="1690" spans="1:6" x14ac:dyDescent="0.25">
      <c r="A1690">
        <v>6422556</v>
      </c>
      <c r="B1690" t="s">
        <v>1728</v>
      </c>
      <c r="C1690" t="str">
        <f>"9783662488454"</f>
        <v>9783662488454</v>
      </c>
      <c r="D1690" t="str">
        <f>"9783662488478"</f>
        <v>9783662488478</v>
      </c>
      <c r="E1690" t="s">
        <v>1416</v>
      </c>
      <c r="F1690" s="1">
        <v>42521</v>
      </c>
    </row>
    <row r="1691" spans="1:6" x14ac:dyDescent="0.25">
      <c r="A1691">
        <v>6422558</v>
      </c>
      <c r="B1691" t="s">
        <v>1729</v>
      </c>
      <c r="C1691" t="str">
        <f>"9783319281100"</f>
        <v>9783319281100</v>
      </c>
      <c r="D1691" t="str">
        <f>"9783319281124"</f>
        <v>9783319281124</v>
      </c>
      <c r="E1691" t="s">
        <v>756</v>
      </c>
      <c r="F1691" s="1">
        <v>42620</v>
      </c>
    </row>
    <row r="1692" spans="1:6" x14ac:dyDescent="0.25">
      <c r="A1692">
        <v>6422559</v>
      </c>
      <c r="B1692" t="s">
        <v>1730</v>
      </c>
      <c r="C1692" t="str">
        <f>"9783642380815"</f>
        <v>9783642380815</v>
      </c>
      <c r="D1692" t="str">
        <f>"9783642380822"</f>
        <v>9783642380822</v>
      </c>
      <c r="E1692" t="s">
        <v>1416</v>
      </c>
      <c r="F1692" s="1">
        <v>41383</v>
      </c>
    </row>
    <row r="1693" spans="1:6" x14ac:dyDescent="0.25">
      <c r="A1693">
        <v>6422560</v>
      </c>
      <c r="B1693" t="s">
        <v>1731</v>
      </c>
      <c r="C1693" t="str">
        <f>"9781430267126"</f>
        <v>9781430267126</v>
      </c>
      <c r="D1693" t="str">
        <f>"9781430267133"</f>
        <v>9781430267133</v>
      </c>
      <c r="E1693" t="s">
        <v>1604</v>
      </c>
      <c r="F1693" s="1">
        <v>41948</v>
      </c>
    </row>
    <row r="1694" spans="1:6" x14ac:dyDescent="0.25">
      <c r="A1694">
        <v>6422561</v>
      </c>
      <c r="B1694" t="s">
        <v>1732</v>
      </c>
      <c r="C1694" t="str">
        <f>"9783319333489"</f>
        <v>9783319333489</v>
      </c>
      <c r="D1694" t="str">
        <f>"9783319333496"</f>
        <v>9783319333496</v>
      </c>
      <c r="E1694" t="s">
        <v>756</v>
      </c>
      <c r="F1694" s="1">
        <v>42705</v>
      </c>
    </row>
    <row r="1695" spans="1:6" x14ac:dyDescent="0.25">
      <c r="A1695">
        <v>6422562</v>
      </c>
      <c r="B1695" t="s">
        <v>1733</v>
      </c>
      <c r="C1695" t="str">
        <f>"9783662559178"</f>
        <v>9783662559178</v>
      </c>
      <c r="D1695" t="str">
        <f>"9783662559185"</f>
        <v>9783662559185</v>
      </c>
      <c r="E1695" t="s">
        <v>1416</v>
      </c>
      <c r="F1695" s="1">
        <v>43049</v>
      </c>
    </row>
    <row r="1696" spans="1:6" x14ac:dyDescent="0.25">
      <c r="A1696">
        <v>6422563</v>
      </c>
      <c r="B1696" t="s">
        <v>1734</v>
      </c>
      <c r="C1696" t="str">
        <f>"9783319329741"</f>
        <v>9783319329741</v>
      </c>
      <c r="D1696" t="str">
        <f>"9783319329758"</f>
        <v>9783319329758</v>
      </c>
      <c r="E1696" t="s">
        <v>756</v>
      </c>
      <c r="F1696" s="1">
        <v>42543</v>
      </c>
    </row>
    <row r="1697" spans="1:6" x14ac:dyDescent="0.25">
      <c r="A1697">
        <v>6422564</v>
      </c>
      <c r="B1697" t="s">
        <v>1735</v>
      </c>
      <c r="C1697" t="str">
        <f>"9783319512730"</f>
        <v>9783319512730</v>
      </c>
      <c r="D1697" t="str">
        <f>"9783319512747"</f>
        <v>9783319512747</v>
      </c>
      <c r="E1697" t="s">
        <v>756</v>
      </c>
      <c r="F1697" s="1">
        <v>42832</v>
      </c>
    </row>
    <row r="1698" spans="1:6" x14ac:dyDescent="0.25">
      <c r="A1698">
        <v>6422565</v>
      </c>
      <c r="B1698" t="s">
        <v>1736</v>
      </c>
      <c r="C1698" t="str">
        <f>"9783319204833"</f>
        <v>9783319204833</v>
      </c>
      <c r="D1698" t="str">
        <f>"9783319204840"</f>
        <v>9783319204840</v>
      </c>
      <c r="E1698" t="s">
        <v>756</v>
      </c>
      <c r="F1698" s="1">
        <v>42236</v>
      </c>
    </row>
    <row r="1699" spans="1:6" x14ac:dyDescent="0.25">
      <c r="A1699">
        <v>6422566</v>
      </c>
      <c r="B1699" t="s">
        <v>1737</v>
      </c>
      <c r="C1699" t="str">
        <f>"9783319460307"</f>
        <v>9783319460307</v>
      </c>
      <c r="D1699" t="str">
        <f>"9783319460314"</f>
        <v>9783319460314</v>
      </c>
      <c r="E1699" t="s">
        <v>756</v>
      </c>
      <c r="F1699" s="1">
        <v>42737</v>
      </c>
    </row>
    <row r="1700" spans="1:6" x14ac:dyDescent="0.25">
      <c r="A1700">
        <v>6422567</v>
      </c>
      <c r="B1700" t="s">
        <v>1738</v>
      </c>
      <c r="C1700" t="str">
        <f>"9783319334455"</f>
        <v>9783319334455</v>
      </c>
      <c r="D1700" t="str">
        <f>"9783319334462"</f>
        <v>9783319334462</v>
      </c>
      <c r="E1700" t="s">
        <v>756</v>
      </c>
      <c r="F1700" s="1">
        <v>42710</v>
      </c>
    </row>
    <row r="1701" spans="1:6" x14ac:dyDescent="0.25">
      <c r="A1701">
        <v>6422568</v>
      </c>
      <c r="B1701" t="s">
        <v>1739</v>
      </c>
      <c r="C1701" t="str">
        <f>"9783319750187"</f>
        <v>9783319750187</v>
      </c>
      <c r="D1701" t="str">
        <f>"9783319750194"</f>
        <v>9783319750194</v>
      </c>
      <c r="E1701" t="s">
        <v>756</v>
      </c>
      <c r="F1701" s="1">
        <v>43194</v>
      </c>
    </row>
    <row r="1702" spans="1:6" x14ac:dyDescent="0.25">
      <c r="A1702">
        <v>6422569</v>
      </c>
      <c r="B1702" t="s">
        <v>1740</v>
      </c>
      <c r="C1702" t="str">
        <f>"9784431556749"</f>
        <v>9784431556749</v>
      </c>
      <c r="D1702" t="str">
        <f>"9784431556756"</f>
        <v>9784431556756</v>
      </c>
      <c r="E1702" t="s">
        <v>1401</v>
      </c>
      <c r="F1702" s="1">
        <v>42272</v>
      </c>
    </row>
    <row r="1703" spans="1:6" x14ac:dyDescent="0.25">
      <c r="A1703">
        <v>6422570</v>
      </c>
      <c r="B1703" t="s">
        <v>1741</v>
      </c>
      <c r="C1703" t="str">
        <f>"9783319713649"</f>
        <v>9783319713649</v>
      </c>
      <c r="D1703" t="str">
        <f>"9783319713656"</f>
        <v>9783319713656</v>
      </c>
      <c r="E1703" t="s">
        <v>756</v>
      </c>
      <c r="F1703" s="1">
        <v>43396</v>
      </c>
    </row>
    <row r="1704" spans="1:6" x14ac:dyDescent="0.25">
      <c r="A1704">
        <v>6422571</v>
      </c>
      <c r="B1704" t="s">
        <v>1742</v>
      </c>
      <c r="C1704" t="str">
        <f>"9783319445878"</f>
        <v>9783319445878</v>
      </c>
      <c r="D1704" t="str">
        <f>"9783319445885"</f>
        <v>9783319445885</v>
      </c>
      <c r="E1704" t="s">
        <v>756</v>
      </c>
      <c r="F1704" s="1">
        <v>42753</v>
      </c>
    </row>
    <row r="1705" spans="1:6" x14ac:dyDescent="0.25">
      <c r="A1705">
        <v>6422572</v>
      </c>
      <c r="B1705" t="s">
        <v>1743</v>
      </c>
      <c r="C1705" t="str">
        <f>"9783030613143"</f>
        <v>9783030613143</v>
      </c>
      <c r="D1705" t="str">
        <f>"9783030613150"</f>
        <v>9783030613150</v>
      </c>
      <c r="E1705" t="s">
        <v>756</v>
      </c>
      <c r="F1705" s="1">
        <v>44173</v>
      </c>
    </row>
    <row r="1706" spans="1:6" x14ac:dyDescent="0.25">
      <c r="A1706">
        <v>6422573</v>
      </c>
      <c r="B1706" t="s">
        <v>1744</v>
      </c>
      <c r="C1706" t="str">
        <f>"9783319311128"</f>
        <v>9783319311128</v>
      </c>
      <c r="D1706" t="str">
        <f>"9783319311135"</f>
        <v>9783319311135</v>
      </c>
      <c r="E1706" t="s">
        <v>756</v>
      </c>
      <c r="F1706" s="1">
        <v>42608</v>
      </c>
    </row>
    <row r="1707" spans="1:6" x14ac:dyDescent="0.25">
      <c r="A1707">
        <v>6422574</v>
      </c>
      <c r="B1707" t="s">
        <v>1745</v>
      </c>
      <c r="C1707" t="str">
        <f>"9783658272579"</f>
        <v>9783658272579</v>
      </c>
      <c r="D1707" t="str">
        <f>"9783658272586"</f>
        <v>9783658272586</v>
      </c>
      <c r="E1707" t="s">
        <v>1391</v>
      </c>
      <c r="F1707" s="1">
        <v>43721</v>
      </c>
    </row>
    <row r="1708" spans="1:6" x14ac:dyDescent="0.25">
      <c r="A1708">
        <v>6422575</v>
      </c>
      <c r="B1708" t="s">
        <v>1746</v>
      </c>
      <c r="C1708" t="str">
        <f>"9783642341373"</f>
        <v>9783642341373</v>
      </c>
      <c r="D1708" t="str">
        <f>"9783642341380"</f>
        <v>9783642341380</v>
      </c>
      <c r="E1708" t="s">
        <v>1416</v>
      </c>
      <c r="F1708" s="1">
        <v>41374</v>
      </c>
    </row>
    <row r="1709" spans="1:6" x14ac:dyDescent="0.25">
      <c r="A1709">
        <v>6422576</v>
      </c>
      <c r="B1709" t="s">
        <v>1747</v>
      </c>
      <c r="C1709" t="str">
        <f>"9783658208004"</f>
        <v>9783658208004</v>
      </c>
      <c r="D1709" t="str">
        <f>"9783658208011"</f>
        <v>9783658208011</v>
      </c>
      <c r="E1709" t="s">
        <v>1391</v>
      </c>
      <c r="F1709" s="1">
        <v>43244</v>
      </c>
    </row>
    <row r="1710" spans="1:6" x14ac:dyDescent="0.25">
      <c r="A1710">
        <v>6422578</v>
      </c>
      <c r="B1710" t="s">
        <v>1748</v>
      </c>
      <c r="C1710" t="str">
        <f>"9783319730189"</f>
        <v>9783319730189</v>
      </c>
      <c r="D1710" t="str">
        <f>"9783319730196"</f>
        <v>9783319730196</v>
      </c>
      <c r="E1710" t="s">
        <v>756</v>
      </c>
      <c r="F1710" s="1">
        <v>43201</v>
      </c>
    </row>
    <row r="1711" spans="1:6" x14ac:dyDescent="0.25">
      <c r="A1711">
        <v>6422579</v>
      </c>
      <c r="B1711" t="s">
        <v>1749</v>
      </c>
      <c r="C1711" t="str">
        <f>"9783319086040"</f>
        <v>9783319086040</v>
      </c>
      <c r="D1711" t="str">
        <f>"9783319086057"</f>
        <v>9783319086057</v>
      </c>
      <c r="E1711" t="s">
        <v>756</v>
      </c>
      <c r="F1711" s="1">
        <v>41991</v>
      </c>
    </row>
    <row r="1712" spans="1:6" x14ac:dyDescent="0.25">
      <c r="A1712">
        <v>6422580</v>
      </c>
      <c r="B1712" t="s">
        <v>1750</v>
      </c>
      <c r="C1712" t="str">
        <f>"9783319191317"</f>
        <v>9783319191317</v>
      </c>
      <c r="D1712" t="str">
        <f>"9783319191324"</f>
        <v>9783319191324</v>
      </c>
      <c r="E1712" t="s">
        <v>756</v>
      </c>
      <c r="F1712" s="1">
        <v>42215</v>
      </c>
    </row>
    <row r="1713" spans="1:6" x14ac:dyDescent="0.25">
      <c r="A1713">
        <v>6422581</v>
      </c>
      <c r="B1713" t="s">
        <v>1751</v>
      </c>
      <c r="C1713" t="str">
        <f>"9783319961897"</f>
        <v>9783319961897</v>
      </c>
      <c r="D1713" t="str">
        <f>"9783319961903"</f>
        <v>9783319961903</v>
      </c>
      <c r="E1713" t="s">
        <v>756</v>
      </c>
      <c r="F1713" s="1">
        <v>43455</v>
      </c>
    </row>
    <row r="1714" spans="1:6" x14ac:dyDescent="0.25">
      <c r="A1714">
        <v>6422582</v>
      </c>
      <c r="B1714" t="s">
        <v>1752</v>
      </c>
      <c r="C1714" t="str">
        <f>"9783319724065"</f>
        <v>9783319724065</v>
      </c>
      <c r="D1714" t="str">
        <f>"9783319724089"</f>
        <v>9783319724089</v>
      </c>
      <c r="E1714" t="s">
        <v>756</v>
      </c>
      <c r="F1714" s="1">
        <v>43160</v>
      </c>
    </row>
    <row r="1715" spans="1:6" x14ac:dyDescent="0.25">
      <c r="A1715">
        <v>6422583</v>
      </c>
      <c r="B1715" t="s">
        <v>1753</v>
      </c>
      <c r="C1715" t="str">
        <f>"9783319424132"</f>
        <v>9783319424132</v>
      </c>
      <c r="D1715" t="str">
        <f>"9783319424149"</f>
        <v>9783319424149</v>
      </c>
      <c r="E1715" t="s">
        <v>756</v>
      </c>
      <c r="F1715" s="1">
        <v>42621</v>
      </c>
    </row>
    <row r="1716" spans="1:6" x14ac:dyDescent="0.25">
      <c r="A1716">
        <v>6422584</v>
      </c>
      <c r="B1716" t="s">
        <v>1754</v>
      </c>
      <c r="C1716" t="str">
        <f>"9783319625966"</f>
        <v>9783319625966</v>
      </c>
      <c r="D1716" t="str">
        <f>"9783319625973"</f>
        <v>9783319625973</v>
      </c>
      <c r="E1716" t="s">
        <v>756</v>
      </c>
      <c r="F1716" s="1">
        <v>43041</v>
      </c>
    </row>
    <row r="1717" spans="1:6" x14ac:dyDescent="0.25">
      <c r="A1717">
        <v>6422585</v>
      </c>
      <c r="B1717" t="s">
        <v>1755</v>
      </c>
      <c r="C1717" t="str">
        <f>"9783319684178"</f>
        <v>9783319684178</v>
      </c>
      <c r="D1717" t="str">
        <f>"9783319684185"</f>
        <v>9783319684185</v>
      </c>
      <c r="E1717" t="s">
        <v>756</v>
      </c>
      <c r="F1717" s="1">
        <v>43126</v>
      </c>
    </row>
    <row r="1718" spans="1:6" x14ac:dyDescent="0.25">
      <c r="A1718">
        <v>6422586</v>
      </c>
      <c r="B1718" t="s">
        <v>1756</v>
      </c>
      <c r="C1718" t="str">
        <f>"9783319077697"</f>
        <v>9783319077697</v>
      </c>
      <c r="D1718" t="str">
        <f>"9783319077703"</f>
        <v>9783319077703</v>
      </c>
      <c r="E1718" t="s">
        <v>756</v>
      </c>
      <c r="F1718" s="1">
        <v>41862</v>
      </c>
    </row>
    <row r="1719" spans="1:6" x14ac:dyDescent="0.25">
      <c r="A1719">
        <v>6422587</v>
      </c>
      <c r="B1719" t="s">
        <v>1757</v>
      </c>
      <c r="C1719" t="str">
        <f>"9783319632933"</f>
        <v>9783319632933</v>
      </c>
      <c r="D1719" t="str">
        <f>"9783319632957"</f>
        <v>9783319632957</v>
      </c>
      <c r="E1719" t="s">
        <v>756</v>
      </c>
      <c r="F1719" s="1">
        <v>43055</v>
      </c>
    </row>
    <row r="1720" spans="1:6" x14ac:dyDescent="0.25">
      <c r="A1720">
        <v>6422588</v>
      </c>
      <c r="B1720" t="s">
        <v>1758</v>
      </c>
      <c r="C1720" t="str">
        <f>"9783319595061"</f>
        <v>9783319595061</v>
      </c>
      <c r="D1720" t="str">
        <f>"9783319595078"</f>
        <v>9783319595078</v>
      </c>
      <c r="E1720" t="s">
        <v>756</v>
      </c>
      <c r="F1720" s="1">
        <v>42992</v>
      </c>
    </row>
    <row r="1721" spans="1:6" x14ac:dyDescent="0.25">
      <c r="A1721">
        <v>6422589</v>
      </c>
      <c r="B1721" t="s">
        <v>1759</v>
      </c>
      <c r="C1721" t="str">
        <f>"9783658195052"</f>
        <v>9783658195052</v>
      </c>
      <c r="D1721" t="str">
        <f>"9783658195069"</f>
        <v>9783658195069</v>
      </c>
      <c r="E1721" t="s">
        <v>1391</v>
      </c>
      <c r="F1721" s="1">
        <v>43041</v>
      </c>
    </row>
    <row r="1722" spans="1:6" x14ac:dyDescent="0.25">
      <c r="A1722">
        <v>6422590</v>
      </c>
      <c r="B1722" t="s">
        <v>1760</v>
      </c>
      <c r="C1722" t="str">
        <f>"9784431556503"</f>
        <v>9784431556503</v>
      </c>
      <c r="D1722" t="str">
        <f>"9784431556510"</f>
        <v>9784431556510</v>
      </c>
      <c r="E1722" t="s">
        <v>1401</v>
      </c>
      <c r="F1722" s="1">
        <v>42305</v>
      </c>
    </row>
    <row r="1723" spans="1:6" x14ac:dyDescent="0.25">
      <c r="A1723">
        <v>6422591</v>
      </c>
      <c r="B1723" t="s">
        <v>1761</v>
      </c>
      <c r="C1723" t="str">
        <f>"9783319739892"</f>
        <v>9783319739892</v>
      </c>
      <c r="D1723" t="str">
        <f>"9783319739908"</f>
        <v>9783319739908</v>
      </c>
      <c r="E1723" t="s">
        <v>756</v>
      </c>
      <c r="F1723" s="1">
        <v>43182</v>
      </c>
    </row>
    <row r="1724" spans="1:6" x14ac:dyDescent="0.25">
      <c r="A1724">
        <v>6422592</v>
      </c>
      <c r="B1724" t="s">
        <v>1762</v>
      </c>
      <c r="C1724" t="str">
        <f>"9789400759367"</f>
        <v>9789400759367</v>
      </c>
      <c r="D1724" t="str">
        <f>"9789400759374"</f>
        <v>9789400759374</v>
      </c>
      <c r="E1724" t="s">
        <v>1458</v>
      </c>
      <c r="F1724" s="1">
        <v>41250</v>
      </c>
    </row>
    <row r="1725" spans="1:6" x14ac:dyDescent="0.25">
      <c r="A1725">
        <v>6422593</v>
      </c>
      <c r="B1725" t="s">
        <v>1763</v>
      </c>
      <c r="C1725" t="str">
        <f>"9781484218419"</f>
        <v>9781484218419</v>
      </c>
      <c r="D1725" t="str">
        <f>"9781484218426"</f>
        <v>9781484218426</v>
      </c>
      <c r="E1725" t="s">
        <v>1604</v>
      </c>
      <c r="F1725" s="1">
        <v>42685</v>
      </c>
    </row>
    <row r="1726" spans="1:6" x14ac:dyDescent="0.25">
      <c r="A1726">
        <v>6422594</v>
      </c>
      <c r="B1726" t="s">
        <v>1764</v>
      </c>
      <c r="C1726" t="str">
        <f>"9783319137186"</f>
        <v>9783319137186</v>
      </c>
      <c r="D1726" t="str">
        <f>"9783319137193"</f>
        <v>9783319137193</v>
      </c>
      <c r="E1726" t="s">
        <v>756</v>
      </c>
      <c r="F1726" s="1">
        <v>42166</v>
      </c>
    </row>
    <row r="1727" spans="1:6" x14ac:dyDescent="0.25">
      <c r="A1727">
        <v>6422597</v>
      </c>
      <c r="B1727" t="s">
        <v>1765</v>
      </c>
      <c r="C1727" t="str">
        <f>"9783319120898"</f>
        <v>9783319120898</v>
      </c>
      <c r="D1727" t="str">
        <f>"9783319120904"</f>
        <v>9783319120904</v>
      </c>
      <c r="E1727" t="s">
        <v>756</v>
      </c>
      <c r="F1727" s="1">
        <v>41991</v>
      </c>
    </row>
    <row r="1728" spans="1:6" x14ac:dyDescent="0.25">
      <c r="A1728">
        <v>6422598</v>
      </c>
      <c r="B1728" t="s">
        <v>1766</v>
      </c>
      <c r="C1728" t="str">
        <f>"9783319606200"</f>
        <v>9783319606200</v>
      </c>
      <c r="D1728" t="str">
        <f>"9783319606217"</f>
        <v>9783319606217</v>
      </c>
      <c r="E1728" t="s">
        <v>756</v>
      </c>
      <c r="F1728" s="1">
        <v>42986</v>
      </c>
    </row>
    <row r="1729" spans="1:6" x14ac:dyDescent="0.25">
      <c r="A1729">
        <v>6422599</v>
      </c>
      <c r="B1729" t="s">
        <v>1767</v>
      </c>
      <c r="C1729" t="str">
        <f>"9783642303814"</f>
        <v>9783642303814</v>
      </c>
      <c r="D1729" t="str">
        <f>"9783642303821"</f>
        <v>9783642303821</v>
      </c>
      <c r="E1729" t="s">
        <v>1416</v>
      </c>
      <c r="F1729" s="1">
        <v>41040</v>
      </c>
    </row>
    <row r="1730" spans="1:6" x14ac:dyDescent="0.25">
      <c r="A1730">
        <v>6422600</v>
      </c>
      <c r="B1730" t="s">
        <v>1768</v>
      </c>
      <c r="C1730" t="str">
        <f>"9783319939339"</f>
        <v>9783319939339</v>
      </c>
      <c r="D1730" t="str">
        <f>"9783319939353"</f>
        <v>9783319939353</v>
      </c>
      <c r="E1730" t="s">
        <v>756</v>
      </c>
      <c r="F1730" s="1">
        <v>43389</v>
      </c>
    </row>
    <row r="1731" spans="1:6" x14ac:dyDescent="0.25">
      <c r="A1731">
        <v>6422601</v>
      </c>
      <c r="B1731" t="s">
        <v>1769</v>
      </c>
      <c r="C1731" t="str">
        <f>"9783319446530"</f>
        <v>9783319446530</v>
      </c>
      <c r="D1731" t="str">
        <f>"9783319446547"</f>
        <v>9783319446547</v>
      </c>
      <c r="E1731" t="s">
        <v>756</v>
      </c>
      <c r="F1731" s="1">
        <v>42759</v>
      </c>
    </row>
    <row r="1732" spans="1:6" x14ac:dyDescent="0.25">
      <c r="A1732">
        <v>6422602</v>
      </c>
      <c r="B1732" t="s">
        <v>1770</v>
      </c>
      <c r="C1732" t="str">
        <f>"9789811015595"</f>
        <v>9789811015595</v>
      </c>
      <c r="D1732" t="str">
        <f>"9789811015601"</f>
        <v>9789811015601</v>
      </c>
      <c r="E1732" t="s">
        <v>1177</v>
      </c>
      <c r="F1732" s="1">
        <v>42714</v>
      </c>
    </row>
    <row r="1733" spans="1:6" x14ac:dyDescent="0.25">
      <c r="A1733">
        <v>6422603</v>
      </c>
      <c r="B1733" t="s">
        <v>1771</v>
      </c>
      <c r="C1733" t="str">
        <f>"9781137529619"</f>
        <v>9781137529619</v>
      </c>
      <c r="D1733" t="str">
        <f>"9781137529626"</f>
        <v>9781137529626</v>
      </c>
      <c r="E1733" t="s">
        <v>1465</v>
      </c>
      <c r="F1733" s="1">
        <v>42228</v>
      </c>
    </row>
    <row r="1734" spans="1:6" x14ac:dyDescent="0.25">
      <c r="A1734">
        <v>6422604</v>
      </c>
      <c r="B1734" t="s">
        <v>1772</v>
      </c>
      <c r="C1734" t="str">
        <f>"9783319187679"</f>
        <v>9783319187679</v>
      </c>
      <c r="D1734" t="str">
        <f>"9783319208770"</f>
        <v>9783319208770</v>
      </c>
      <c r="E1734" t="s">
        <v>756</v>
      </c>
      <c r="F1734" s="1">
        <v>42299</v>
      </c>
    </row>
    <row r="1735" spans="1:6" x14ac:dyDescent="0.25">
      <c r="A1735">
        <v>6422605</v>
      </c>
      <c r="B1735" t="s">
        <v>1773</v>
      </c>
      <c r="C1735" t="str">
        <f>"9783319129181"</f>
        <v>9783319129181</v>
      </c>
      <c r="D1735" t="str">
        <f>"9783319129198"</f>
        <v>9783319129198</v>
      </c>
      <c r="E1735" t="s">
        <v>756</v>
      </c>
      <c r="F1735" s="1">
        <v>42075</v>
      </c>
    </row>
    <row r="1736" spans="1:6" x14ac:dyDescent="0.25">
      <c r="A1736">
        <v>6422606</v>
      </c>
      <c r="B1736" t="s">
        <v>1774</v>
      </c>
      <c r="C1736" t="str">
        <f>"9783642256424"</f>
        <v>9783642256424</v>
      </c>
      <c r="D1736" t="str">
        <f>"9783642256431"</f>
        <v>9783642256431</v>
      </c>
      <c r="E1736" t="s">
        <v>1416</v>
      </c>
      <c r="F1736" s="1">
        <v>41647</v>
      </c>
    </row>
    <row r="1737" spans="1:6" x14ac:dyDescent="0.25">
      <c r="A1737">
        <v>6422607</v>
      </c>
      <c r="B1737" t="s">
        <v>1775</v>
      </c>
      <c r="C1737" t="str">
        <f>"9781137487520"</f>
        <v>9781137487520</v>
      </c>
      <c r="D1737" t="str">
        <f>"9781137487537"</f>
        <v>9781137487537</v>
      </c>
      <c r="E1737" t="s">
        <v>1465</v>
      </c>
      <c r="F1737" s="1">
        <v>42305</v>
      </c>
    </row>
    <row r="1738" spans="1:6" x14ac:dyDescent="0.25">
      <c r="A1738">
        <v>6422608</v>
      </c>
      <c r="B1738" t="s">
        <v>1776</v>
      </c>
      <c r="C1738" t="str">
        <f>"9784431551102"</f>
        <v>9784431551102</v>
      </c>
      <c r="D1738" t="str">
        <f>"9784431551119"</f>
        <v>9784431551119</v>
      </c>
      <c r="E1738" t="s">
        <v>1401</v>
      </c>
      <c r="F1738" s="1">
        <v>41962</v>
      </c>
    </row>
    <row r="1739" spans="1:6" x14ac:dyDescent="0.25">
      <c r="A1739">
        <v>6422610</v>
      </c>
      <c r="B1739" t="s">
        <v>1777</v>
      </c>
      <c r="C1739" t="str">
        <f>"9783642318290"</f>
        <v>9783642318290</v>
      </c>
      <c r="D1739" t="str">
        <f>"9783642318306"</f>
        <v>9783642318306</v>
      </c>
      <c r="E1739" t="s">
        <v>1416</v>
      </c>
      <c r="F1739" s="1">
        <v>41095</v>
      </c>
    </row>
    <row r="1740" spans="1:6" x14ac:dyDescent="0.25">
      <c r="A1740">
        <v>6422611</v>
      </c>
      <c r="B1740" t="s">
        <v>1778</v>
      </c>
      <c r="C1740" t="str">
        <f>"9783319927213"</f>
        <v>9783319927213</v>
      </c>
      <c r="D1740" t="str">
        <f>"9783319927220"</f>
        <v>9783319927220</v>
      </c>
      <c r="E1740" t="s">
        <v>756</v>
      </c>
      <c r="F1740" s="1">
        <v>43399</v>
      </c>
    </row>
    <row r="1741" spans="1:6" x14ac:dyDescent="0.25">
      <c r="A1741">
        <v>6422612</v>
      </c>
      <c r="B1741" t="s">
        <v>1779</v>
      </c>
      <c r="C1741" t="str">
        <f>"9783319417745"</f>
        <v>9783319417745</v>
      </c>
      <c r="D1741" t="str">
        <f>"9783319417769"</f>
        <v>9783319417769</v>
      </c>
      <c r="E1741" t="s">
        <v>756</v>
      </c>
      <c r="F1741" s="1">
        <v>42685</v>
      </c>
    </row>
    <row r="1742" spans="1:6" x14ac:dyDescent="0.25">
      <c r="A1742">
        <v>6422613</v>
      </c>
      <c r="B1742" t="s">
        <v>1780</v>
      </c>
      <c r="C1742" t="str">
        <f>"9789812872838"</f>
        <v>9789812872838</v>
      </c>
      <c r="D1742" t="str">
        <f>"9789812872845"</f>
        <v>9789812872845</v>
      </c>
      <c r="E1742" t="s">
        <v>1177</v>
      </c>
      <c r="F1742" s="1">
        <v>42019</v>
      </c>
    </row>
    <row r="1743" spans="1:6" x14ac:dyDescent="0.25">
      <c r="A1743">
        <v>6422614</v>
      </c>
      <c r="B1743" t="s">
        <v>1781</v>
      </c>
      <c r="C1743" t="str">
        <f>"9783319200941"</f>
        <v>9783319200941</v>
      </c>
      <c r="D1743" t="str">
        <f>"9783319200958"</f>
        <v>9783319200958</v>
      </c>
      <c r="E1743" t="s">
        <v>756</v>
      </c>
      <c r="F1743" s="1">
        <v>42243</v>
      </c>
    </row>
    <row r="1744" spans="1:6" x14ac:dyDescent="0.25">
      <c r="A1744">
        <v>6422616</v>
      </c>
      <c r="B1744" t="s">
        <v>1782</v>
      </c>
      <c r="C1744" t="str">
        <f>"9783319146928"</f>
        <v>9783319146928</v>
      </c>
      <c r="D1744" t="str">
        <f>"9783319146935"</f>
        <v>9783319146935</v>
      </c>
      <c r="E1744" t="s">
        <v>756</v>
      </c>
      <c r="F1744" s="1">
        <v>42041</v>
      </c>
    </row>
    <row r="1745" spans="1:6" x14ac:dyDescent="0.25">
      <c r="A1745">
        <v>6422617</v>
      </c>
      <c r="B1745" t="s">
        <v>1783</v>
      </c>
      <c r="C1745" t="str">
        <f>"9783662582244"</f>
        <v>9783662582244</v>
      </c>
      <c r="D1745" t="str">
        <f>"9783662582251"</f>
        <v>9783662582251</v>
      </c>
      <c r="E1745" t="s">
        <v>1416</v>
      </c>
      <c r="F1745" s="1">
        <v>43550</v>
      </c>
    </row>
    <row r="1746" spans="1:6" x14ac:dyDescent="0.25">
      <c r="A1746">
        <v>6422618</v>
      </c>
      <c r="B1746" t="s">
        <v>1784</v>
      </c>
      <c r="C1746" t="str">
        <f>"9783319390949"</f>
        <v>9783319390949</v>
      </c>
      <c r="D1746" t="str">
        <f>"9783319390956"</f>
        <v>9783319390956</v>
      </c>
      <c r="E1746" t="s">
        <v>756</v>
      </c>
      <c r="F1746" s="1">
        <v>42619</v>
      </c>
    </row>
    <row r="1747" spans="1:6" x14ac:dyDescent="0.25">
      <c r="A1747">
        <v>6422619</v>
      </c>
      <c r="B1747" t="s">
        <v>1785</v>
      </c>
      <c r="C1747" t="str">
        <f>"9781137448873"</f>
        <v>9781137448873</v>
      </c>
      <c r="D1747" t="str">
        <f>"9781137448880"</f>
        <v>9781137448880</v>
      </c>
      <c r="E1747" t="s">
        <v>1465</v>
      </c>
      <c r="F1747" s="1">
        <v>42249</v>
      </c>
    </row>
    <row r="1748" spans="1:6" x14ac:dyDescent="0.25">
      <c r="A1748">
        <v>6422620</v>
      </c>
      <c r="B1748" t="s">
        <v>1786</v>
      </c>
      <c r="C1748" t="str">
        <f>"9781137500267"</f>
        <v>9781137500267</v>
      </c>
      <c r="D1748" t="str">
        <f>"9781137500281"</f>
        <v>9781137500281</v>
      </c>
      <c r="E1748" t="s">
        <v>1465</v>
      </c>
      <c r="F1748" s="1">
        <v>41967</v>
      </c>
    </row>
    <row r="1749" spans="1:6" x14ac:dyDescent="0.25">
      <c r="A1749">
        <v>6422621</v>
      </c>
      <c r="B1749" t="s">
        <v>1787</v>
      </c>
      <c r="C1749" t="str">
        <f>"9783662529041"</f>
        <v>9783662529041</v>
      </c>
      <c r="D1749" t="str">
        <f>"9783662532607"</f>
        <v>9783662532607</v>
      </c>
      <c r="E1749" t="s">
        <v>1416</v>
      </c>
      <c r="F1749" s="1">
        <v>42625</v>
      </c>
    </row>
    <row r="1750" spans="1:6" x14ac:dyDescent="0.25">
      <c r="A1750">
        <v>6422622</v>
      </c>
      <c r="B1750" t="s">
        <v>1788</v>
      </c>
      <c r="C1750" t="str">
        <f>"9789811084874"</f>
        <v>9789811084874</v>
      </c>
      <c r="D1750" t="str">
        <f>"9789811084881"</f>
        <v>9789811084881</v>
      </c>
      <c r="E1750" t="s">
        <v>1177</v>
      </c>
      <c r="F1750" s="1">
        <v>43203</v>
      </c>
    </row>
    <row r="1751" spans="1:6" x14ac:dyDescent="0.25">
      <c r="A1751">
        <v>6422625</v>
      </c>
      <c r="B1751" t="s">
        <v>1789</v>
      </c>
      <c r="C1751" t="str">
        <f>"9789811310010"</f>
        <v>9789811310010</v>
      </c>
      <c r="D1751" t="str">
        <f>"9789811310027"</f>
        <v>9789811310027</v>
      </c>
      <c r="E1751" t="s">
        <v>1177</v>
      </c>
      <c r="F1751" s="1">
        <v>43383</v>
      </c>
    </row>
    <row r="1752" spans="1:6" x14ac:dyDescent="0.25">
      <c r="A1752">
        <v>6422626</v>
      </c>
      <c r="B1752" t="s">
        <v>1790</v>
      </c>
      <c r="C1752" t="str">
        <f>"9783319017532"</f>
        <v>9783319017532</v>
      </c>
      <c r="D1752" t="str">
        <f>"9783319017549"</f>
        <v>9783319017549</v>
      </c>
      <c r="E1752" t="s">
        <v>756</v>
      </c>
      <c r="F1752" s="1">
        <v>41732</v>
      </c>
    </row>
    <row r="1753" spans="1:6" x14ac:dyDescent="0.25">
      <c r="A1753">
        <v>6422627</v>
      </c>
      <c r="B1753" t="s">
        <v>1791</v>
      </c>
      <c r="C1753" t="str">
        <f>"9783642548116"</f>
        <v>9783642548116</v>
      </c>
      <c r="D1753" t="str">
        <f>"9783642548123"</f>
        <v>9783642548123</v>
      </c>
      <c r="E1753" t="s">
        <v>1416</v>
      </c>
      <c r="F1753" s="1">
        <v>41925</v>
      </c>
    </row>
    <row r="1754" spans="1:6" x14ac:dyDescent="0.25">
      <c r="A1754">
        <v>6422630</v>
      </c>
      <c r="B1754" t="s">
        <v>1792</v>
      </c>
      <c r="C1754" t="str">
        <f>"9783319137902"</f>
        <v>9783319137902</v>
      </c>
      <c r="D1754" t="str">
        <f>"9783319137919"</f>
        <v>9783319137919</v>
      </c>
      <c r="E1754" t="s">
        <v>756</v>
      </c>
      <c r="F1754" s="1">
        <v>42080</v>
      </c>
    </row>
    <row r="1755" spans="1:6" x14ac:dyDescent="0.25">
      <c r="A1755">
        <v>6422631</v>
      </c>
      <c r="B1755" t="s">
        <v>1793</v>
      </c>
      <c r="C1755" t="str">
        <f>"9783319162553"</f>
        <v>9783319162553</v>
      </c>
      <c r="D1755" t="str">
        <f>"9783319162560"</f>
        <v>9783319162560</v>
      </c>
      <c r="E1755" t="s">
        <v>756</v>
      </c>
      <c r="F1755" s="1">
        <v>42179</v>
      </c>
    </row>
    <row r="1756" spans="1:6" x14ac:dyDescent="0.25">
      <c r="A1756">
        <v>6422632</v>
      </c>
      <c r="B1756" t="s">
        <v>1794</v>
      </c>
      <c r="C1756" t="str">
        <f>"9783319191676"</f>
        <v>9783319191676</v>
      </c>
      <c r="D1756" t="str">
        <f>"9783319191683"</f>
        <v>9783319191683</v>
      </c>
      <c r="E1756" t="s">
        <v>756</v>
      </c>
      <c r="F1756" s="1">
        <v>42339</v>
      </c>
    </row>
    <row r="1757" spans="1:6" x14ac:dyDescent="0.25">
      <c r="A1757">
        <v>6422633</v>
      </c>
      <c r="B1757" t="s">
        <v>1795</v>
      </c>
      <c r="C1757" t="str">
        <f>"9783319995953"</f>
        <v>9783319995953</v>
      </c>
      <c r="D1757" t="str">
        <f>"9783319995960"</f>
        <v>9783319995960</v>
      </c>
      <c r="E1757" t="s">
        <v>756</v>
      </c>
      <c r="F1757" s="1">
        <v>43377</v>
      </c>
    </row>
    <row r="1758" spans="1:6" x14ac:dyDescent="0.25">
      <c r="A1758">
        <v>6422634</v>
      </c>
      <c r="B1758" t="s">
        <v>1796</v>
      </c>
      <c r="C1758" t="str">
        <f>"9789811076169"</f>
        <v>9789811076169</v>
      </c>
      <c r="D1758" t="str">
        <f>"9789811076176"</f>
        <v>9789811076176</v>
      </c>
      <c r="E1758" t="s">
        <v>1177</v>
      </c>
      <c r="F1758" s="1">
        <v>43124</v>
      </c>
    </row>
    <row r="1759" spans="1:6" x14ac:dyDescent="0.25">
      <c r="A1759">
        <v>6422635</v>
      </c>
      <c r="B1759" t="s">
        <v>1797</v>
      </c>
      <c r="C1759" t="str">
        <f>"9783662514191"</f>
        <v>9783662514191</v>
      </c>
      <c r="D1759" t="str">
        <f>"9783662514207"</f>
        <v>9783662514207</v>
      </c>
      <c r="E1759" t="s">
        <v>1416</v>
      </c>
      <c r="F1759" s="1">
        <v>42642</v>
      </c>
    </row>
    <row r="1760" spans="1:6" x14ac:dyDescent="0.25">
      <c r="A1760">
        <v>6422636</v>
      </c>
      <c r="B1760" t="s">
        <v>1798</v>
      </c>
      <c r="C1760" t="str">
        <f>"9783319169637"</f>
        <v>9783319169637</v>
      </c>
      <c r="D1760" t="str">
        <f>"9783319169644"</f>
        <v>9783319169644</v>
      </c>
      <c r="E1760" t="s">
        <v>756</v>
      </c>
      <c r="F1760" s="1">
        <v>42258</v>
      </c>
    </row>
    <row r="1761" spans="1:6" x14ac:dyDescent="0.25">
      <c r="A1761">
        <v>6422637</v>
      </c>
      <c r="B1761" t="s">
        <v>1799</v>
      </c>
      <c r="C1761" t="str">
        <f>"9783319418131"</f>
        <v>9783319418131</v>
      </c>
      <c r="D1761" t="str">
        <f>"9783319418148"</f>
        <v>9783319418148</v>
      </c>
      <c r="E1761" t="s">
        <v>756</v>
      </c>
      <c r="F1761" s="1">
        <v>42570</v>
      </c>
    </row>
    <row r="1762" spans="1:6" x14ac:dyDescent="0.25">
      <c r="A1762">
        <v>6422638</v>
      </c>
      <c r="B1762" t="s">
        <v>1800</v>
      </c>
      <c r="C1762" t="str">
        <f>"9783319281995"</f>
        <v>9783319281995</v>
      </c>
      <c r="D1762" t="str">
        <f>"9783319282015"</f>
        <v>9783319282015</v>
      </c>
      <c r="E1762" t="s">
        <v>756</v>
      </c>
      <c r="F1762" s="1">
        <v>42481</v>
      </c>
    </row>
    <row r="1763" spans="1:6" x14ac:dyDescent="0.25">
      <c r="A1763">
        <v>6422640</v>
      </c>
      <c r="B1763" t="s">
        <v>1801</v>
      </c>
      <c r="C1763" t="str">
        <f>"9783319422664"</f>
        <v>9783319422664</v>
      </c>
      <c r="D1763" t="str">
        <f>"9783319422671"</f>
        <v>9783319422671</v>
      </c>
      <c r="E1763" t="s">
        <v>756</v>
      </c>
      <c r="F1763" s="1">
        <v>42587</v>
      </c>
    </row>
    <row r="1764" spans="1:6" x14ac:dyDescent="0.25">
      <c r="A1764">
        <v>6422641</v>
      </c>
      <c r="B1764" t="s">
        <v>1802</v>
      </c>
      <c r="C1764" t="str">
        <f>"9783319483627"</f>
        <v>9783319483627</v>
      </c>
      <c r="D1764" t="str">
        <f>"9783319483634"</f>
        <v>9783319483634</v>
      </c>
      <c r="E1764" t="s">
        <v>756</v>
      </c>
      <c r="F1764" s="1">
        <v>42835</v>
      </c>
    </row>
    <row r="1765" spans="1:6" x14ac:dyDescent="0.25">
      <c r="A1765">
        <v>6422644</v>
      </c>
      <c r="B1765" t="s">
        <v>1803</v>
      </c>
      <c r="C1765" t="str">
        <f>"9783319134369"</f>
        <v>9783319134369</v>
      </c>
      <c r="D1765" t="str">
        <f>"9783319134376"</f>
        <v>9783319134376</v>
      </c>
      <c r="E1765" t="s">
        <v>756</v>
      </c>
      <c r="F1765" s="1">
        <v>42129</v>
      </c>
    </row>
    <row r="1766" spans="1:6" x14ac:dyDescent="0.25">
      <c r="A1766">
        <v>6422645</v>
      </c>
      <c r="B1766" t="s">
        <v>1804</v>
      </c>
      <c r="C1766" t="str">
        <f>"9783658280079"</f>
        <v>9783658280079</v>
      </c>
      <c r="D1766" t="str">
        <f>"9783658280086"</f>
        <v>9783658280086</v>
      </c>
      <c r="E1766" t="s">
        <v>1391</v>
      </c>
      <c r="F1766" s="1">
        <v>43801</v>
      </c>
    </row>
    <row r="1767" spans="1:6" x14ac:dyDescent="0.25">
      <c r="A1767">
        <v>6422647</v>
      </c>
      <c r="B1767" t="s">
        <v>1805</v>
      </c>
      <c r="C1767" t="str">
        <f>"9789811065583"</f>
        <v>9789811065583</v>
      </c>
      <c r="D1767" t="str">
        <f>"9789811065590"</f>
        <v>9789811065590</v>
      </c>
      <c r="E1767" t="s">
        <v>1177</v>
      </c>
      <c r="F1767" s="1">
        <v>43067</v>
      </c>
    </row>
    <row r="1768" spans="1:6" x14ac:dyDescent="0.25">
      <c r="A1768">
        <v>6422648</v>
      </c>
      <c r="B1768" t="s">
        <v>1806</v>
      </c>
      <c r="C1768" t="str">
        <f>"9781137377012"</f>
        <v>9781137377012</v>
      </c>
      <c r="D1768" t="str">
        <f>"9781137377029"</f>
        <v>9781137377029</v>
      </c>
      <c r="E1768" t="s">
        <v>1465</v>
      </c>
      <c r="F1768" s="1">
        <v>41589</v>
      </c>
    </row>
    <row r="1769" spans="1:6" x14ac:dyDescent="0.25">
      <c r="A1769">
        <v>6422649</v>
      </c>
      <c r="B1769" t="s">
        <v>1807</v>
      </c>
      <c r="C1769" t="str">
        <f>"9783319741406"</f>
        <v>9783319741406</v>
      </c>
      <c r="D1769" t="str">
        <f>"9783319741413"</f>
        <v>9783319741413</v>
      </c>
      <c r="E1769" t="s">
        <v>756</v>
      </c>
      <c r="F1769" s="1">
        <v>43122</v>
      </c>
    </row>
    <row r="1770" spans="1:6" x14ac:dyDescent="0.25">
      <c r="A1770">
        <v>6422650</v>
      </c>
      <c r="B1770" t="s">
        <v>1808</v>
      </c>
      <c r="C1770" t="str">
        <f>"9784431548034"</f>
        <v>9784431548034</v>
      </c>
      <c r="D1770" t="str">
        <f>"9784431548041"</f>
        <v>9784431548041</v>
      </c>
      <c r="E1770" t="s">
        <v>1401</v>
      </c>
      <c r="F1770" s="1">
        <v>41725</v>
      </c>
    </row>
    <row r="1771" spans="1:6" x14ac:dyDescent="0.25">
      <c r="A1771">
        <v>6422651</v>
      </c>
      <c r="B1771" t="s">
        <v>1809</v>
      </c>
      <c r="C1771" t="str">
        <f>"9783319723556"</f>
        <v>9783319723556</v>
      </c>
      <c r="D1771" t="str">
        <f>"9783319723563"</f>
        <v>9783319723563</v>
      </c>
      <c r="E1771" t="s">
        <v>756</v>
      </c>
      <c r="F1771" s="1">
        <v>43153</v>
      </c>
    </row>
    <row r="1772" spans="1:6" x14ac:dyDescent="0.25">
      <c r="A1772">
        <v>6422652</v>
      </c>
      <c r="B1772" t="s">
        <v>1810</v>
      </c>
      <c r="C1772" t="str">
        <f>"9783658275938"</f>
        <v>9783658275938</v>
      </c>
      <c r="D1772" t="str">
        <f>"9783658275945"</f>
        <v>9783658275945</v>
      </c>
      <c r="E1772" t="s">
        <v>1391</v>
      </c>
      <c r="F1772" s="1">
        <v>43866</v>
      </c>
    </row>
    <row r="1773" spans="1:6" x14ac:dyDescent="0.25">
      <c r="A1773">
        <v>6422654</v>
      </c>
      <c r="B1773" t="s">
        <v>1811</v>
      </c>
      <c r="C1773" t="str">
        <f>"9784431546276"</f>
        <v>9784431546276</v>
      </c>
      <c r="D1773" t="str">
        <f>"9784431546283"</f>
        <v>9784431546283</v>
      </c>
      <c r="E1773" t="s">
        <v>1401</v>
      </c>
      <c r="F1773" s="1">
        <v>42556</v>
      </c>
    </row>
    <row r="1774" spans="1:6" x14ac:dyDescent="0.25">
      <c r="A1774">
        <v>6422656</v>
      </c>
      <c r="B1774" t="s">
        <v>1812</v>
      </c>
      <c r="C1774" t="str">
        <f>"9783319452630"</f>
        <v>9783319452630</v>
      </c>
      <c r="D1774" t="str">
        <f>"9783319452647"</f>
        <v>9783319452647</v>
      </c>
      <c r="E1774" t="s">
        <v>756</v>
      </c>
      <c r="F1774" s="1">
        <v>42650</v>
      </c>
    </row>
    <row r="1775" spans="1:6" x14ac:dyDescent="0.25">
      <c r="A1775">
        <v>6422657</v>
      </c>
      <c r="B1775" t="s">
        <v>1813</v>
      </c>
      <c r="C1775" t="str">
        <f>"9783319912226"</f>
        <v>9783319912226</v>
      </c>
      <c r="D1775" t="str">
        <f>"9783319912233"</f>
        <v>9783319912233</v>
      </c>
      <c r="E1775" t="s">
        <v>756</v>
      </c>
      <c r="F1775" s="1">
        <v>43384</v>
      </c>
    </row>
    <row r="1776" spans="1:6" x14ac:dyDescent="0.25">
      <c r="A1776">
        <v>6422658</v>
      </c>
      <c r="B1776" t="s">
        <v>1814</v>
      </c>
      <c r="C1776" t="str">
        <f>"9783658215293"</f>
        <v>9783658215293</v>
      </c>
      <c r="D1776" t="str">
        <f>"9783658215309"</f>
        <v>9783658215309</v>
      </c>
      <c r="E1776" t="s">
        <v>1391</v>
      </c>
      <c r="F1776" s="1">
        <v>43199</v>
      </c>
    </row>
    <row r="1777" spans="1:6" x14ac:dyDescent="0.25">
      <c r="A1777">
        <v>6422659</v>
      </c>
      <c r="B1777" t="s">
        <v>1815</v>
      </c>
      <c r="C1777" t="str">
        <f>"9783658133467"</f>
        <v>9783658133467</v>
      </c>
      <c r="D1777" t="str">
        <f>"9783658133474"</f>
        <v>9783658133474</v>
      </c>
      <c r="E1777" t="s">
        <v>1391</v>
      </c>
      <c r="F1777" s="1">
        <v>42590</v>
      </c>
    </row>
    <row r="1778" spans="1:6" x14ac:dyDescent="0.25">
      <c r="A1778">
        <v>6422660</v>
      </c>
      <c r="B1778" t="s">
        <v>1816</v>
      </c>
      <c r="C1778" t="str">
        <f>"9783319464985"</f>
        <v>9783319464985</v>
      </c>
      <c r="D1778" t="str">
        <f>"9783319464992"</f>
        <v>9783319464992</v>
      </c>
      <c r="E1778" t="s">
        <v>756</v>
      </c>
      <c r="F1778" s="1">
        <v>42835</v>
      </c>
    </row>
    <row r="1779" spans="1:6" x14ac:dyDescent="0.25">
      <c r="A1779">
        <v>6422661</v>
      </c>
      <c r="B1779" t="s">
        <v>1817</v>
      </c>
      <c r="C1779" t="str">
        <f>"9789811071188"</f>
        <v>9789811071188</v>
      </c>
      <c r="D1779" t="str">
        <f>"9789811071195"</f>
        <v>9789811071195</v>
      </c>
      <c r="E1779" t="s">
        <v>1177</v>
      </c>
      <c r="F1779" s="1">
        <v>43131</v>
      </c>
    </row>
    <row r="1780" spans="1:6" x14ac:dyDescent="0.25">
      <c r="A1780">
        <v>6422662</v>
      </c>
      <c r="B1780" t="s">
        <v>1818</v>
      </c>
      <c r="C1780" t="str">
        <f>"9783642212765"</f>
        <v>9783642212765</v>
      </c>
      <c r="D1780" t="str">
        <f>"9783642212772"</f>
        <v>9783642212772</v>
      </c>
      <c r="E1780" t="s">
        <v>1416</v>
      </c>
      <c r="F1780" s="1">
        <v>40807</v>
      </c>
    </row>
    <row r="1781" spans="1:6" x14ac:dyDescent="0.25">
      <c r="A1781">
        <v>6422663</v>
      </c>
      <c r="B1781" t="s">
        <v>1819</v>
      </c>
      <c r="C1781" t="str">
        <f>"9784431543275"</f>
        <v>9784431543275</v>
      </c>
      <c r="D1781" t="str">
        <f>"9784431543282"</f>
        <v>9784431543282</v>
      </c>
      <c r="E1781" t="s">
        <v>1401</v>
      </c>
      <c r="F1781" s="1">
        <v>41361</v>
      </c>
    </row>
    <row r="1782" spans="1:6" x14ac:dyDescent="0.25">
      <c r="A1782">
        <v>6422664</v>
      </c>
      <c r="B1782" t="s">
        <v>1820</v>
      </c>
      <c r="C1782" t="str">
        <f>"9783319398884"</f>
        <v>9783319398884</v>
      </c>
      <c r="D1782" t="str">
        <f>"9783319398891"</f>
        <v>9783319398891</v>
      </c>
      <c r="E1782" t="s">
        <v>756</v>
      </c>
      <c r="F1782" s="1">
        <v>42878</v>
      </c>
    </row>
    <row r="1783" spans="1:6" x14ac:dyDescent="0.25">
      <c r="A1783">
        <v>6422665</v>
      </c>
      <c r="B1783" t="s">
        <v>1821</v>
      </c>
      <c r="C1783" t="str">
        <f>"9783319953922"</f>
        <v>9783319953922</v>
      </c>
      <c r="D1783" t="str">
        <f>"9783319953939"</f>
        <v>9783319953939</v>
      </c>
      <c r="E1783" t="s">
        <v>756</v>
      </c>
      <c r="F1783" s="1">
        <v>43349</v>
      </c>
    </row>
    <row r="1784" spans="1:6" x14ac:dyDescent="0.25">
      <c r="A1784">
        <v>6422666</v>
      </c>
      <c r="B1784" t="s">
        <v>1822</v>
      </c>
      <c r="C1784" t="str">
        <f>"9783658100933"</f>
        <v>9783658100933</v>
      </c>
      <c r="D1784" t="str">
        <f>"9783658100940"</f>
        <v>9783658100940</v>
      </c>
      <c r="E1784" t="s">
        <v>1391</v>
      </c>
      <c r="F1784" s="1">
        <v>42227</v>
      </c>
    </row>
    <row r="1785" spans="1:6" x14ac:dyDescent="0.25">
      <c r="A1785">
        <v>6422667</v>
      </c>
      <c r="B1785" t="s">
        <v>1823</v>
      </c>
      <c r="C1785" t="str">
        <f>"9783319215501"</f>
        <v>9783319215501</v>
      </c>
      <c r="D1785" t="str">
        <f>"9783319215518"</f>
        <v>9783319215518</v>
      </c>
      <c r="E1785" t="s">
        <v>756</v>
      </c>
      <c r="F1785" s="1">
        <v>42472</v>
      </c>
    </row>
    <row r="1786" spans="1:6" x14ac:dyDescent="0.25">
      <c r="A1786">
        <v>6422668</v>
      </c>
      <c r="B1786" t="s">
        <v>1824</v>
      </c>
      <c r="C1786" t="str">
        <f>"9783319746951"</f>
        <v>9783319746951</v>
      </c>
      <c r="D1786" t="str">
        <f>"9783319746968"</f>
        <v>9783319746968</v>
      </c>
      <c r="E1786" t="s">
        <v>756</v>
      </c>
      <c r="F1786" s="1">
        <v>43217</v>
      </c>
    </row>
    <row r="1787" spans="1:6" x14ac:dyDescent="0.25">
      <c r="A1787">
        <v>6422669</v>
      </c>
      <c r="B1787" t="s">
        <v>1825</v>
      </c>
      <c r="C1787" t="str">
        <f>"9781430261360"</f>
        <v>9781430261360</v>
      </c>
      <c r="D1787" t="str">
        <f>"9781430261377"</f>
        <v>9781430261377</v>
      </c>
      <c r="E1787" t="s">
        <v>1604</v>
      </c>
      <c r="F1787" s="1">
        <v>41425</v>
      </c>
    </row>
    <row r="1788" spans="1:6" x14ac:dyDescent="0.25">
      <c r="A1788">
        <v>6422670</v>
      </c>
      <c r="B1788" t="s">
        <v>1826</v>
      </c>
      <c r="C1788" t="str">
        <f>"9783319270050"</f>
        <v>9783319270050</v>
      </c>
      <c r="D1788" t="str">
        <f>"9783319270067"</f>
        <v>9783319270067</v>
      </c>
      <c r="E1788" t="s">
        <v>756</v>
      </c>
      <c r="F1788" s="1">
        <v>42461</v>
      </c>
    </row>
    <row r="1789" spans="1:6" x14ac:dyDescent="0.25">
      <c r="A1789">
        <v>6422671</v>
      </c>
      <c r="B1789" t="s">
        <v>1827</v>
      </c>
      <c r="C1789" t="str">
        <f>"9783319444291"</f>
        <v>9783319444291</v>
      </c>
      <c r="D1789" t="str">
        <f>"9783319444314"</f>
        <v>9783319444314</v>
      </c>
      <c r="E1789" t="s">
        <v>756</v>
      </c>
      <c r="F1789" s="1">
        <v>42797</v>
      </c>
    </row>
    <row r="1790" spans="1:6" x14ac:dyDescent="0.25">
      <c r="A1790">
        <v>6422672</v>
      </c>
      <c r="B1790" t="s">
        <v>1828</v>
      </c>
      <c r="C1790" t="str">
        <f>"9780230103900"</f>
        <v>9780230103900</v>
      </c>
      <c r="D1790" t="str">
        <f>"9780230109773"</f>
        <v>9780230109773</v>
      </c>
      <c r="E1790" t="s">
        <v>885</v>
      </c>
      <c r="F1790" s="1">
        <v>40408</v>
      </c>
    </row>
    <row r="1791" spans="1:6" x14ac:dyDescent="0.25">
      <c r="A1791">
        <v>6422673</v>
      </c>
      <c r="B1791" t="s">
        <v>1829</v>
      </c>
      <c r="C1791" t="str">
        <f>"9783319708140"</f>
        <v>9783319708140</v>
      </c>
      <c r="D1791" t="str">
        <f>"9783319708157"</f>
        <v>9783319708157</v>
      </c>
      <c r="E1791" t="s">
        <v>756</v>
      </c>
      <c r="F1791" s="1">
        <v>43153</v>
      </c>
    </row>
    <row r="1792" spans="1:6" x14ac:dyDescent="0.25">
      <c r="A1792">
        <v>6422674</v>
      </c>
      <c r="B1792" t="s">
        <v>1830</v>
      </c>
      <c r="C1792" t="str">
        <f>"9781484200711"</f>
        <v>9781484200711</v>
      </c>
      <c r="D1792" t="str">
        <f>"9781484200704"</f>
        <v>9781484200704</v>
      </c>
      <c r="E1792" t="s">
        <v>1604</v>
      </c>
      <c r="F1792" s="1">
        <v>42031</v>
      </c>
    </row>
    <row r="1793" spans="1:6" x14ac:dyDescent="0.25">
      <c r="A1793">
        <v>6422675</v>
      </c>
      <c r="B1793" t="s">
        <v>1831</v>
      </c>
      <c r="C1793" t="str">
        <f>"9783662589342"</f>
        <v>9783662589342</v>
      </c>
      <c r="D1793" t="str">
        <f>"9783662589359"</f>
        <v>9783662589359</v>
      </c>
      <c r="E1793" t="s">
        <v>1416</v>
      </c>
      <c r="F1793" s="1">
        <v>43682</v>
      </c>
    </row>
    <row r="1794" spans="1:6" x14ac:dyDescent="0.25">
      <c r="A1794">
        <v>6422676</v>
      </c>
      <c r="B1794" t="s">
        <v>1832</v>
      </c>
      <c r="C1794" t="str">
        <f>"9783658126438"</f>
        <v>9783658126438</v>
      </c>
      <c r="D1794" t="str">
        <f>"9783658126445"</f>
        <v>9783658126445</v>
      </c>
      <c r="E1794" t="s">
        <v>1391</v>
      </c>
      <c r="F1794" s="1">
        <v>42691</v>
      </c>
    </row>
    <row r="1795" spans="1:6" x14ac:dyDescent="0.25">
      <c r="A1795">
        <v>6422677</v>
      </c>
      <c r="B1795" t="s">
        <v>1833</v>
      </c>
      <c r="C1795" t="str">
        <f>"9789811061288"</f>
        <v>9789811061288</v>
      </c>
      <c r="D1795" t="str">
        <f>"9789811061295"</f>
        <v>9789811061295</v>
      </c>
      <c r="E1795" t="s">
        <v>1177</v>
      </c>
      <c r="F1795" s="1">
        <v>43025</v>
      </c>
    </row>
    <row r="1796" spans="1:6" x14ac:dyDescent="0.25">
      <c r="A1796">
        <v>6422678</v>
      </c>
      <c r="B1796" t="s">
        <v>1834</v>
      </c>
      <c r="C1796" t="str">
        <f>"9783319611938"</f>
        <v>9783319611938</v>
      </c>
      <c r="D1796" t="str">
        <f>"9783319611945"</f>
        <v>9783319611945</v>
      </c>
      <c r="E1796" t="s">
        <v>756</v>
      </c>
      <c r="F1796" s="1">
        <v>43038</v>
      </c>
    </row>
    <row r="1797" spans="1:6" x14ac:dyDescent="0.25">
      <c r="A1797">
        <v>6422679</v>
      </c>
      <c r="B1797" t="s">
        <v>1835</v>
      </c>
      <c r="C1797" t="str">
        <f>"9783319446653"</f>
        <v>9783319446653</v>
      </c>
      <c r="D1797" t="str">
        <f>"9783319446677"</f>
        <v>9783319446677</v>
      </c>
      <c r="E1797" t="s">
        <v>756</v>
      </c>
      <c r="F1797" s="1">
        <v>42753</v>
      </c>
    </row>
    <row r="1798" spans="1:6" x14ac:dyDescent="0.25">
      <c r="A1798">
        <v>6422680</v>
      </c>
      <c r="B1798" t="s">
        <v>1836</v>
      </c>
      <c r="C1798" t="str">
        <f>"9783319537504"</f>
        <v>9783319537504</v>
      </c>
      <c r="D1798" t="str">
        <f>"9783319560915"</f>
        <v>9783319560915</v>
      </c>
      <c r="E1798" t="s">
        <v>756</v>
      </c>
      <c r="F1798" s="1">
        <v>42998</v>
      </c>
    </row>
    <row r="1799" spans="1:6" x14ac:dyDescent="0.25">
      <c r="A1799">
        <v>6422681</v>
      </c>
      <c r="B1799" t="s">
        <v>1837</v>
      </c>
      <c r="C1799" t="str">
        <f>"9783319590950"</f>
        <v>9783319590950</v>
      </c>
      <c r="D1799" t="str">
        <f>"9783319590967"</f>
        <v>9783319590967</v>
      </c>
      <c r="E1799" t="s">
        <v>756</v>
      </c>
      <c r="F1799" s="1">
        <v>42934</v>
      </c>
    </row>
    <row r="1800" spans="1:6" x14ac:dyDescent="0.25">
      <c r="A1800">
        <v>6422682</v>
      </c>
      <c r="B1800" t="s">
        <v>1838</v>
      </c>
      <c r="C1800" t="str">
        <f>"9783658213435"</f>
        <v>9783658213435</v>
      </c>
      <c r="D1800" t="str">
        <f>"9783658213442"</f>
        <v>9783658213442</v>
      </c>
      <c r="E1800" t="s">
        <v>1391</v>
      </c>
      <c r="F1800" s="1">
        <v>43227</v>
      </c>
    </row>
    <row r="1801" spans="1:6" x14ac:dyDescent="0.25">
      <c r="A1801">
        <v>6422684</v>
      </c>
      <c r="B1801" t="s">
        <v>1839</v>
      </c>
      <c r="C1801" t="str">
        <f>"9783642363481"</f>
        <v>9783642363481</v>
      </c>
      <c r="D1801" t="str">
        <f>"9783642363498"</f>
        <v>9783642363498</v>
      </c>
      <c r="E1801" t="s">
        <v>1416</v>
      </c>
      <c r="F1801" s="1">
        <v>41353</v>
      </c>
    </row>
    <row r="1802" spans="1:6" x14ac:dyDescent="0.25">
      <c r="A1802">
        <v>6422686</v>
      </c>
      <c r="B1802" t="s">
        <v>1840</v>
      </c>
      <c r="C1802" t="str">
        <f>"9783319398464"</f>
        <v>9783319398464</v>
      </c>
      <c r="D1802" t="str">
        <f>"9783319398471"</f>
        <v>9783319398471</v>
      </c>
      <c r="E1802" t="s">
        <v>756</v>
      </c>
      <c r="F1802" s="1">
        <v>42591</v>
      </c>
    </row>
    <row r="1803" spans="1:6" x14ac:dyDescent="0.25">
      <c r="A1803">
        <v>6422687</v>
      </c>
      <c r="B1803" t="s">
        <v>1841</v>
      </c>
      <c r="C1803" t="str">
        <f>"9783319131344"</f>
        <v>9783319131344</v>
      </c>
      <c r="D1803" t="str">
        <f>"9783319131351"</f>
        <v>9783319131351</v>
      </c>
      <c r="E1803" t="s">
        <v>756</v>
      </c>
      <c r="F1803" s="1">
        <v>42104</v>
      </c>
    </row>
    <row r="1804" spans="1:6" x14ac:dyDescent="0.25">
      <c r="A1804">
        <v>6422688</v>
      </c>
      <c r="B1804" t="s">
        <v>1842</v>
      </c>
      <c r="C1804" t="str">
        <f>"9783319230955"</f>
        <v>9783319230955</v>
      </c>
      <c r="D1804" t="str">
        <f>"9783319230962"</f>
        <v>9783319230962</v>
      </c>
      <c r="E1804" t="s">
        <v>756</v>
      </c>
      <c r="F1804" s="1">
        <v>42433</v>
      </c>
    </row>
    <row r="1805" spans="1:6" x14ac:dyDescent="0.25">
      <c r="A1805">
        <v>6422689</v>
      </c>
      <c r="B1805" t="s">
        <v>1843</v>
      </c>
      <c r="C1805" t="str">
        <f>"9783319162584"</f>
        <v>9783319162584</v>
      </c>
      <c r="D1805" t="str">
        <f>"9783319162591"</f>
        <v>9783319162591</v>
      </c>
      <c r="E1805" t="s">
        <v>756</v>
      </c>
      <c r="F1805" s="1">
        <v>42164</v>
      </c>
    </row>
    <row r="1806" spans="1:6" x14ac:dyDescent="0.25">
      <c r="A1806">
        <v>6422690</v>
      </c>
      <c r="B1806" t="s">
        <v>1844</v>
      </c>
      <c r="C1806" t="str">
        <f>"9783662468050"</f>
        <v>9783662468050</v>
      </c>
      <c r="D1806" t="str">
        <f>"9783662468067"</f>
        <v>9783662468067</v>
      </c>
      <c r="E1806" t="s">
        <v>1416</v>
      </c>
      <c r="F1806" s="1">
        <v>42305</v>
      </c>
    </row>
    <row r="1807" spans="1:6" x14ac:dyDescent="0.25">
      <c r="A1807">
        <v>6422691</v>
      </c>
      <c r="B1807" t="s">
        <v>1845</v>
      </c>
      <c r="C1807" t="str">
        <f>"9783319389646"</f>
        <v>9783319389646</v>
      </c>
      <c r="D1807" t="str">
        <f>"9783319389653"</f>
        <v>9783319389653</v>
      </c>
      <c r="E1807" t="s">
        <v>756</v>
      </c>
      <c r="F1807" s="1">
        <v>42671</v>
      </c>
    </row>
    <row r="1808" spans="1:6" x14ac:dyDescent="0.25">
      <c r="A1808">
        <v>6422692</v>
      </c>
      <c r="B1808" t="s">
        <v>1846</v>
      </c>
      <c r="C1808" t="str">
        <f>"9784431543398"</f>
        <v>9784431543398</v>
      </c>
      <c r="D1808" t="str">
        <f>"9784431543404"</f>
        <v>9784431543404</v>
      </c>
      <c r="E1808" t="s">
        <v>1401</v>
      </c>
      <c r="F1808" s="1">
        <v>41374</v>
      </c>
    </row>
    <row r="1809" spans="1:6" x14ac:dyDescent="0.25">
      <c r="A1809">
        <v>6422693</v>
      </c>
      <c r="B1809" t="s">
        <v>1847</v>
      </c>
      <c r="C1809" t="str">
        <f>"9783662549810"</f>
        <v>9783662549810</v>
      </c>
      <c r="D1809" t="str">
        <f>"9783662549971"</f>
        <v>9783662549971</v>
      </c>
      <c r="E1809" t="s">
        <v>1416</v>
      </c>
      <c r="F1809" s="1">
        <v>42916</v>
      </c>
    </row>
    <row r="1810" spans="1:6" x14ac:dyDescent="0.25">
      <c r="A1810">
        <v>6422695</v>
      </c>
      <c r="B1810" t="s">
        <v>1848</v>
      </c>
      <c r="C1810" t="str">
        <f>"9783030586409"</f>
        <v>9783030586409</v>
      </c>
      <c r="D1810" t="str">
        <f>"9783030586416"</f>
        <v>9783030586416</v>
      </c>
      <c r="E1810" t="s">
        <v>756</v>
      </c>
      <c r="F1810" s="1">
        <v>44187</v>
      </c>
    </row>
    <row r="1811" spans="1:6" x14ac:dyDescent="0.25">
      <c r="A1811">
        <v>6422696</v>
      </c>
      <c r="B1811" t="s">
        <v>1849</v>
      </c>
      <c r="C1811" t="str">
        <f>"9781493934546"</f>
        <v>9781493934546</v>
      </c>
      <c r="D1811" t="str">
        <f>"9781493934560"</f>
        <v>9781493934560</v>
      </c>
      <c r="E1811" t="s">
        <v>1850</v>
      </c>
      <c r="F1811" s="1">
        <v>42913</v>
      </c>
    </row>
    <row r="1812" spans="1:6" x14ac:dyDescent="0.25">
      <c r="A1812">
        <v>6422697</v>
      </c>
      <c r="B1812" t="s">
        <v>1851</v>
      </c>
      <c r="C1812" t="str">
        <f>"9783476051035"</f>
        <v>9783476051035</v>
      </c>
      <c r="D1812" t="str">
        <f>"9783476051042"</f>
        <v>9783476051042</v>
      </c>
      <c r="E1812" t="s">
        <v>1852</v>
      </c>
      <c r="F1812" s="1">
        <v>43854</v>
      </c>
    </row>
    <row r="1813" spans="1:6" x14ac:dyDescent="0.25">
      <c r="A1813">
        <v>6422698</v>
      </c>
      <c r="B1813" t="s">
        <v>1853</v>
      </c>
      <c r="C1813" t="str">
        <f>"9781484200773"</f>
        <v>9781484200773</v>
      </c>
      <c r="D1813" t="str">
        <f>"9781484200766"</f>
        <v>9781484200766</v>
      </c>
      <c r="E1813" t="s">
        <v>1604</v>
      </c>
      <c r="F1813" s="1">
        <v>41952</v>
      </c>
    </row>
    <row r="1814" spans="1:6" x14ac:dyDescent="0.25">
      <c r="A1814">
        <v>6422699</v>
      </c>
      <c r="B1814" t="s">
        <v>1854</v>
      </c>
      <c r="C1814" t="str">
        <f>"9784431555360"</f>
        <v>9784431555360</v>
      </c>
      <c r="D1814" t="str">
        <f>"9784431555377"</f>
        <v>9784431555377</v>
      </c>
      <c r="E1814" t="s">
        <v>1401</v>
      </c>
      <c r="F1814" s="1">
        <v>42206</v>
      </c>
    </row>
    <row r="1815" spans="1:6" x14ac:dyDescent="0.25">
      <c r="A1815">
        <v>6422700</v>
      </c>
      <c r="B1815" t="s">
        <v>1855</v>
      </c>
      <c r="C1815" t="str">
        <f>"9783319778235"</f>
        <v>9783319778235</v>
      </c>
      <c r="D1815" t="str">
        <f>"9783319778242"</f>
        <v>9783319778242</v>
      </c>
      <c r="E1815" t="s">
        <v>756</v>
      </c>
      <c r="F1815" s="1">
        <v>43216</v>
      </c>
    </row>
    <row r="1816" spans="1:6" x14ac:dyDescent="0.25">
      <c r="A1816">
        <v>6422701</v>
      </c>
      <c r="B1816" t="s">
        <v>1856</v>
      </c>
      <c r="C1816" t="str">
        <f>"9781430261308"</f>
        <v>9781430261308</v>
      </c>
      <c r="D1816" t="str">
        <f>"9781430261315"</f>
        <v>9781430261315</v>
      </c>
      <c r="E1816" t="s">
        <v>1604</v>
      </c>
      <c r="F1816" s="1">
        <v>41639</v>
      </c>
    </row>
    <row r="1817" spans="1:6" x14ac:dyDescent="0.25">
      <c r="A1817">
        <v>6422702</v>
      </c>
      <c r="B1817" t="s">
        <v>1857</v>
      </c>
      <c r="C1817" t="str">
        <f>"9784431545828"</f>
        <v>9784431545828</v>
      </c>
      <c r="D1817" t="str">
        <f>"9784431545835"</f>
        <v>9784431545835</v>
      </c>
      <c r="E1817" t="s">
        <v>1401</v>
      </c>
      <c r="F1817" s="1">
        <v>41690</v>
      </c>
    </row>
    <row r="1818" spans="1:6" x14ac:dyDescent="0.25">
      <c r="A1818">
        <v>6422703</v>
      </c>
      <c r="B1818" t="s">
        <v>1858</v>
      </c>
      <c r="C1818" t="str">
        <f>"9781430251132"</f>
        <v>9781430251132</v>
      </c>
      <c r="D1818" t="str">
        <f>"9781430251149"</f>
        <v>9781430251149</v>
      </c>
      <c r="E1818" t="s">
        <v>1604</v>
      </c>
      <c r="F1818" s="1">
        <v>41260</v>
      </c>
    </row>
    <row r="1819" spans="1:6" x14ac:dyDescent="0.25">
      <c r="A1819">
        <v>6422704</v>
      </c>
      <c r="B1819" t="s">
        <v>1859</v>
      </c>
      <c r="C1819" t="str">
        <f>"9783319586878"</f>
        <v>9783319586878</v>
      </c>
      <c r="D1819" t="str">
        <f>"9783319586892"</f>
        <v>9783319586892</v>
      </c>
      <c r="E1819" t="s">
        <v>756</v>
      </c>
      <c r="F1819" s="1">
        <v>43028</v>
      </c>
    </row>
    <row r="1820" spans="1:6" x14ac:dyDescent="0.25">
      <c r="A1820">
        <v>6422705</v>
      </c>
      <c r="B1820" t="s">
        <v>1860</v>
      </c>
      <c r="C1820" t="str">
        <f>"9783319972015"</f>
        <v>9783319972015</v>
      </c>
      <c r="D1820" t="str">
        <f>"9783319972022"</f>
        <v>9783319972022</v>
      </c>
      <c r="E1820" t="s">
        <v>756</v>
      </c>
      <c r="F1820" s="1">
        <v>43397</v>
      </c>
    </row>
    <row r="1821" spans="1:6" x14ac:dyDescent="0.25">
      <c r="A1821">
        <v>6422706</v>
      </c>
      <c r="B1821" t="s">
        <v>1861</v>
      </c>
      <c r="C1821" t="str">
        <f>"9783319295428"</f>
        <v>9783319295428</v>
      </c>
      <c r="D1821" t="str">
        <f>"9783319295442"</f>
        <v>9783319295442</v>
      </c>
      <c r="E1821" t="s">
        <v>756</v>
      </c>
      <c r="F1821" s="1">
        <v>42500</v>
      </c>
    </row>
    <row r="1822" spans="1:6" x14ac:dyDescent="0.25">
      <c r="A1822">
        <v>6422710</v>
      </c>
      <c r="B1822" t="s">
        <v>1862</v>
      </c>
      <c r="C1822" t="str">
        <f>"9783662492031"</f>
        <v>9783662492031</v>
      </c>
      <c r="D1822" t="str">
        <f>"9783662492048"</f>
        <v>9783662492048</v>
      </c>
      <c r="E1822" t="s">
        <v>1416</v>
      </c>
      <c r="F1822" s="1">
        <v>42524</v>
      </c>
    </row>
    <row r="1823" spans="1:6" x14ac:dyDescent="0.25">
      <c r="A1823">
        <v>6422712</v>
      </c>
      <c r="B1823" t="s">
        <v>1863</v>
      </c>
      <c r="C1823" t="str">
        <f>"9783319189703"</f>
        <v>9783319189703</v>
      </c>
      <c r="D1823" t="str">
        <f>"9783319189710"</f>
        <v>9783319189710</v>
      </c>
      <c r="E1823" t="s">
        <v>756</v>
      </c>
      <c r="F1823" s="1">
        <v>42319</v>
      </c>
    </row>
    <row r="1824" spans="1:6" x14ac:dyDescent="0.25">
      <c r="A1824">
        <v>6422713</v>
      </c>
      <c r="B1824" t="s">
        <v>1864</v>
      </c>
      <c r="C1824" t="str">
        <f>"9781430265269"</f>
        <v>9781430265269</v>
      </c>
      <c r="D1824" t="str">
        <f>"9781430265276"</f>
        <v>9781430265276</v>
      </c>
      <c r="E1824" t="s">
        <v>1604</v>
      </c>
      <c r="F1824" s="1">
        <v>41662</v>
      </c>
    </row>
    <row r="1825" spans="1:6" x14ac:dyDescent="0.25">
      <c r="A1825">
        <v>6422714</v>
      </c>
      <c r="B1825" t="s">
        <v>1865</v>
      </c>
      <c r="C1825" t="str">
        <f>"9783319652436"</f>
        <v>9783319652436</v>
      </c>
      <c r="D1825" t="str">
        <f>"9783319652443"</f>
        <v>9783319652443</v>
      </c>
      <c r="E1825" t="s">
        <v>756</v>
      </c>
      <c r="F1825" s="1">
        <v>43126</v>
      </c>
    </row>
    <row r="1826" spans="1:6" x14ac:dyDescent="0.25">
      <c r="A1826">
        <v>6422715</v>
      </c>
      <c r="B1826" t="s">
        <v>1866</v>
      </c>
      <c r="C1826" t="str">
        <f>"9783030108212"</f>
        <v>9783030108212</v>
      </c>
      <c r="D1826" t="str">
        <f>"9783030108229"</f>
        <v>9783030108229</v>
      </c>
      <c r="E1826" t="s">
        <v>756</v>
      </c>
      <c r="F1826" s="1">
        <v>43501</v>
      </c>
    </row>
    <row r="1827" spans="1:6" x14ac:dyDescent="0.25">
      <c r="A1827">
        <v>6422716</v>
      </c>
      <c r="B1827" t="s">
        <v>1867</v>
      </c>
      <c r="C1827" t="str">
        <f>"9783319656380"</f>
        <v>9783319656380</v>
      </c>
      <c r="D1827" t="str">
        <f>"9783319656397"</f>
        <v>9783319656397</v>
      </c>
      <c r="E1827" t="s">
        <v>756</v>
      </c>
      <c r="F1827" s="1">
        <v>43062</v>
      </c>
    </row>
    <row r="1828" spans="1:6" x14ac:dyDescent="0.25">
      <c r="A1828">
        <v>6422717</v>
      </c>
      <c r="B1828" t="s">
        <v>1868</v>
      </c>
      <c r="C1828" t="str">
        <f>"9783662458532"</f>
        <v>9783662458532</v>
      </c>
      <c r="D1828" t="str">
        <f>"9783662458549"</f>
        <v>9783662458549</v>
      </c>
      <c r="E1828" t="s">
        <v>1416</v>
      </c>
      <c r="F1828" s="1">
        <v>42128</v>
      </c>
    </row>
    <row r="1829" spans="1:6" x14ac:dyDescent="0.25">
      <c r="A1829">
        <v>6422718</v>
      </c>
      <c r="B1829" t="s">
        <v>1869</v>
      </c>
      <c r="C1829" t="str">
        <f>"9783319257167"</f>
        <v>9783319257167</v>
      </c>
      <c r="D1829" t="str">
        <f>"9783319257181"</f>
        <v>9783319257181</v>
      </c>
      <c r="E1829" t="s">
        <v>756</v>
      </c>
      <c r="F1829" s="1">
        <v>42432</v>
      </c>
    </row>
    <row r="1830" spans="1:6" x14ac:dyDescent="0.25">
      <c r="A1830">
        <v>6422719</v>
      </c>
      <c r="B1830" t="s">
        <v>1870</v>
      </c>
      <c r="C1830" t="str">
        <f>"9789812878250"</f>
        <v>9789812878250</v>
      </c>
      <c r="D1830" t="str">
        <f>"9789812878267"</f>
        <v>9789812878267</v>
      </c>
      <c r="E1830" t="s">
        <v>1177</v>
      </c>
      <c r="F1830" s="1">
        <v>42412</v>
      </c>
    </row>
    <row r="1831" spans="1:6" x14ac:dyDescent="0.25">
      <c r="A1831">
        <v>6422720</v>
      </c>
      <c r="B1831" t="s">
        <v>1871</v>
      </c>
      <c r="C1831" t="str">
        <f>"9783476049759"</f>
        <v>9783476049759</v>
      </c>
      <c r="D1831" t="str">
        <f>"9783476049766"</f>
        <v>9783476049766</v>
      </c>
      <c r="E1831" t="s">
        <v>1852</v>
      </c>
      <c r="F1831" s="1">
        <v>43766</v>
      </c>
    </row>
    <row r="1832" spans="1:6" x14ac:dyDescent="0.25">
      <c r="A1832">
        <v>6422721</v>
      </c>
      <c r="B1832" t="s">
        <v>1872</v>
      </c>
      <c r="C1832" t="str">
        <f>"9783319457680"</f>
        <v>9783319457680</v>
      </c>
      <c r="D1832" t="str">
        <f>"9783319457697"</f>
        <v>9783319457697</v>
      </c>
      <c r="E1832" t="s">
        <v>756</v>
      </c>
      <c r="F1832" s="1">
        <v>42740</v>
      </c>
    </row>
    <row r="1833" spans="1:6" x14ac:dyDescent="0.25">
      <c r="A1833">
        <v>6422722</v>
      </c>
      <c r="B1833" t="s">
        <v>1873</v>
      </c>
      <c r="C1833" t="str">
        <f>"9781430259299"</f>
        <v>9781430259299</v>
      </c>
      <c r="D1833" t="str">
        <f>"9781430259305"</f>
        <v>9781430259305</v>
      </c>
      <c r="E1833" t="s">
        <v>1604</v>
      </c>
      <c r="F1833" s="1">
        <v>41789</v>
      </c>
    </row>
    <row r="1834" spans="1:6" x14ac:dyDescent="0.25">
      <c r="A1834">
        <v>6422723</v>
      </c>
      <c r="B1834" t="s">
        <v>1874</v>
      </c>
      <c r="C1834" t="str">
        <f>"9783319130231"</f>
        <v>9783319130231</v>
      </c>
      <c r="D1834" t="str">
        <f>"9783319130248"</f>
        <v>9783319130248</v>
      </c>
      <c r="E1834" t="s">
        <v>756</v>
      </c>
      <c r="F1834" s="1">
        <v>42157</v>
      </c>
    </row>
    <row r="1835" spans="1:6" x14ac:dyDescent="0.25">
      <c r="A1835">
        <v>6422724</v>
      </c>
      <c r="B1835" t="s">
        <v>1875</v>
      </c>
      <c r="C1835" t="str">
        <f>"9783662492659"</f>
        <v>9783662492659</v>
      </c>
      <c r="D1835" t="str">
        <f>"9783662492666"</f>
        <v>9783662492666</v>
      </c>
      <c r="E1835" t="s">
        <v>1416</v>
      </c>
      <c r="F1835" s="1">
        <v>43104</v>
      </c>
    </row>
    <row r="1836" spans="1:6" x14ac:dyDescent="0.25">
      <c r="A1836">
        <v>6422725</v>
      </c>
      <c r="B1836" t="s">
        <v>1876</v>
      </c>
      <c r="C1836" t="str">
        <f>"9783319446080"</f>
        <v>9783319446080</v>
      </c>
      <c r="D1836" t="str">
        <f>"9783319446103"</f>
        <v>9783319446103</v>
      </c>
      <c r="E1836" t="s">
        <v>756</v>
      </c>
      <c r="F1836" s="1">
        <v>42783</v>
      </c>
    </row>
    <row r="1837" spans="1:6" x14ac:dyDescent="0.25">
      <c r="A1837">
        <v>6422727</v>
      </c>
      <c r="B1837" t="s">
        <v>1877</v>
      </c>
      <c r="C1837" t="str">
        <f>"9783662557884"</f>
        <v>9783662557884</v>
      </c>
      <c r="D1837" t="str">
        <f>"9783662557969"</f>
        <v>9783662557969</v>
      </c>
      <c r="E1837" t="s">
        <v>1416</v>
      </c>
      <c r="F1837" s="1">
        <v>43131</v>
      </c>
    </row>
    <row r="1838" spans="1:6" x14ac:dyDescent="0.25">
      <c r="A1838">
        <v>6422728</v>
      </c>
      <c r="B1838" t="s">
        <v>1878</v>
      </c>
      <c r="C1838" t="str">
        <f>"9783319446950"</f>
        <v>9783319446950</v>
      </c>
      <c r="D1838" t="str">
        <f>"9783319446967"</f>
        <v>9783319446967</v>
      </c>
      <c r="E1838" t="s">
        <v>756</v>
      </c>
      <c r="F1838" s="1">
        <v>42698</v>
      </c>
    </row>
    <row r="1839" spans="1:6" x14ac:dyDescent="0.25">
      <c r="A1839">
        <v>6422729</v>
      </c>
      <c r="B1839" t="s">
        <v>1879</v>
      </c>
      <c r="C1839" t="str">
        <f>"9789401789585"</f>
        <v>9789401789585</v>
      </c>
      <c r="D1839" t="str">
        <f>"9789401789592"</f>
        <v>9789401789592</v>
      </c>
      <c r="E1839" t="s">
        <v>1458</v>
      </c>
      <c r="F1839" s="1">
        <v>41821</v>
      </c>
    </row>
    <row r="1840" spans="1:6" x14ac:dyDescent="0.25">
      <c r="A1840">
        <v>6422730</v>
      </c>
      <c r="B1840" t="s">
        <v>1880</v>
      </c>
      <c r="C1840" t="str">
        <f>"9783658226237"</f>
        <v>9783658226237</v>
      </c>
      <c r="D1840" t="str">
        <f>"9783658226244"</f>
        <v>9783658226244</v>
      </c>
      <c r="E1840" t="s">
        <v>1391</v>
      </c>
      <c r="F1840" s="1">
        <v>43291</v>
      </c>
    </row>
    <row r="1841" spans="1:6" x14ac:dyDescent="0.25">
      <c r="A1841">
        <v>6422731</v>
      </c>
      <c r="B1841" t="s">
        <v>1881</v>
      </c>
      <c r="C1841" t="str">
        <f>"9783319106854"</f>
        <v>9783319106854</v>
      </c>
      <c r="D1841" t="str">
        <f>"9783319126883"</f>
        <v>9783319126883</v>
      </c>
      <c r="E1841" t="s">
        <v>756</v>
      </c>
      <c r="F1841" s="1">
        <v>42102</v>
      </c>
    </row>
    <row r="1842" spans="1:6" x14ac:dyDescent="0.25">
      <c r="A1842">
        <v>6422732</v>
      </c>
      <c r="B1842" t="s">
        <v>1882</v>
      </c>
      <c r="C1842" t="str">
        <f>"9789811040610"</f>
        <v>9789811040610</v>
      </c>
      <c r="D1842" t="str">
        <f>"9789811040627"</f>
        <v>9789811040627</v>
      </c>
      <c r="E1842" t="s">
        <v>1177</v>
      </c>
      <c r="F1842" s="1">
        <v>42895</v>
      </c>
    </row>
    <row r="1843" spans="1:6" x14ac:dyDescent="0.25">
      <c r="A1843">
        <v>6422734</v>
      </c>
      <c r="B1843" t="s">
        <v>1883</v>
      </c>
      <c r="C1843" t="str">
        <f>"9781137505712"</f>
        <v>9781137505712</v>
      </c>
      <c r="D1843" t="str">
        <f>"9781137505729"</f>
        <v>9781137505729</v>
      </c>
      <c r="E1843" t="s">
        <v>1465</v>
      </c>
      <c r="F1843" s="1">
        <v>42375</v>
      </c>
    </row>
    <row r="1844" spans="1:6" x14ac:dyDescent="0.25">
      <c r="A1844">
        <v>6422735</v>
      </c>
      <c r="B1844" t="s">
        <v>1884</v>
      </c>
      <c r="C1844" t="str">
        <f>"9783319947174"</f>
        <v>9783319947174</v>
      </c>
      <c r="D1844" t="str">
        <f>"9783319947181"</f>
        <v>9783319947181</v>
      </c>
      <c r="E1844" t="s">
        <v>756</v>
      </c>
      <c r="F1844" s="1">
        <v>43384</v>
      </c>
    </row>
    <row r="1845" spans="1:6" x14ac:dyDescent="0.25">
      <c r="A1845">
        <v>6422736</v>
      </c>
      <c r="B1845" t="s">
        <v>1885</v>
      </c>
      <c r="C1845" t="str">
        <f>"9783658205393"</f>
        <v>9783658205393</v>
      </c>
      <c r="D1845" t="str">
        <f>"9783658205409"</f>
        <v>9783658205409</v>
      </c>
      <c r="E1845" t="s">
        <v>1391</v>
      </c>
      <c r="F1845" s="1">
        <v>43122</v>
      </c>
    </row>
    <row r="1846" spans="1:6" x14ac:dyDescent="0.25">
      <c r="A1846">
        <v>6422737</v>
      </c>
      <c r="B1846" t="s">
        <v>1886</v>
      </c>
      <c r="C1846" t="str">
        <f>"9783658084622"</f>
        <v>9783658084622</v>
      </c>
      <c r="D1846" t="str">
        <f>"9783658084639"</f>
        <v>9783658084639</v>
      </c>
      <c r="E1846" t="s">
        <v>1391</v>
      </c>
      <c r="F1846" s="1">
        <v>42272</v>
      </c>
    </row>
    <row r="1847" spans="1:6" x14ac:dyDescent="0.25">
      <c r="A1847">
        <v>6422738</v>
      </c>
      <c r="B1847" t="s">
        <v>1887</v>
      </c>
      <c r="C1847" t="str">
        <f>"9783319601915"</f>
        <v>9783319601915</v>
      </c>
      <c r="D1847" t="str">
        <f>"9783319601922"</f>
        <v>9783319601922</v>
      </c>
      <c r="E1847" t="s">
        <v>756</v>
      </c>
      <c r="F1847" s="1">
        <v>43000</v>
      </c>
    </row>
    <row r="1848" spans="1:6" x14ac:dyDescent="0.25">
      <c r="A1848">
        <v>6422739</v>
      </c>
      <c r="B1848" t="s">
        <v>1888</v>
      </c>
      <c r="C1848" t="str">
        <f>"9781430260134"</f>
        <v>9781430260134</v>
      </c>
      <c r="D1848" t="str">
        <f>"9781430260141"</f>
        <v>9781430260141</v>
      </c>
      <c r="E1848" t="s">
        <v>1604</v>
      </c>
      <c r="F1848" s="1">
        <v>41629</v>
      </c>
    </row>
    <row r="1849" spans="1:6" x14ac:dyDescent="0.25">
      <c r="A1849">
        <v>6422740</v>
      </c>
      <c r="B1849" t="s">
        <v>1889</v>
      </c>
      <c r="C1849" t="str">
        <f>"9783319316154"</f>
        <v>9783319316154</v>
      </c>
      <c r="D1849" t="str">
        <f>"9783319316161"</f>
        <v>9783319316161</v>
      </c>
      <c r="E1849" t="s">
        <v>756</v>
      </c>
      <c r="F1849" s="1">
        <v>42585</v>
      </c>
    </row>
    <row r="1850" spans="1:6" x14ac:dyDescent="0.25">
      <c r="A1850">
        <v>6422741</v>
      </c>
      <c r="B1850" t="s">
        <v>1890</v>
      </c>
      <c r="C1850" t="str">
        <f>"9783319393568"</f>
        <v>9783319393568</v>
      </c>
      <c r="D1850" t="str">
        <f>"9783319393575"</f>
        <v>9783319393575</v>
      </c>
      <c r="E1850" t="s">
        <v>756</v>
      </c>
      <c r="F1850" s="1">
        <v>42591</v>
      </c>
    </row>
    <row r="1851" spans="1:6" x14ac:dyDescent="0.25">
      <c r="A1851">
        <v>6422742</v>
      </c>
      <c r="B1851" t="s">
        <v>1891</v>
      </c>
      <c r="C1851" t="str">
        <f>"9783319104249"</f>
        <v>9783319104249</v>
      </c>
      <c r="D1851" t="str">
        <f>"9783319104256"</f>
        <v>9783319104256</v>
      </c>
      <c r="E1851" t="s">
        <v>756</v>
      </c>
      <c r="F1851" s="1">
        <v>42620</v>
      </c>
    </row>
    <row r="1852" spans="1:6" x14ac:dyDescent="0.25">
      <c r="A1852">
        <v>6422743</v>
      </c>
      <c r="B1852" t="s">
        <v>1892</v>
      </c>
      <c r="C1852" t="str">
        <f>"9781137403599"</f>
        <v>9781137403599</v>
      </c>
      <c r="D1852" t="str">
        <f>"9781137403605"</f>
        <v>9781137403605</v>
      </c>
      <c r="E1852" t="s">
        <v>1465</v>
      </c>
      <c r="F1852" s="1">
        <v>41890</v>
      </c>
    </row>
    <row r="1853" spans="1:6" x14ac:dyDescent="0.25">
      <c r="A1853">
        <v>6422744</v>
      </c>
      <c r="B1853" t="s">
        <v>1893</v>
      </c>
      <c r="C1853" t="str">
        <f>"9783319394497"</f>
        <v>9783319394497</v>
      </c>
      <c r="D1853" t="str">
        <f>"9783319394503"</f>
        <v>9783319394503</v>
      </c>
      <c r="E1853" t="s">
        <v>756</v>
      </c>
      <c r="F1853" s="1">
        <v>42543</v>
      </c>
    </row>
    <row r="1854" spans="1:6" x14ac:dyDescent="0.25">
      <c r="A1854">
        <v>6422746</v>
      </c>
      <c r="B1854" t="s">
        <v>1894</v>
      </c>
      <c r="C1854" t="str">
        <f>"9783319254586"</f>
        <v>9783319254586</v>
      </c>
      <c r="D1854" t="str">
        <f>"9783319254609"</f>
        <v>9783319254609</v>
      </c>
      <c r="E1854" t="s">
        <v>756</v>
      </c>
      <c r="F1854" s="1">
        <v>42359</v>
      </c>
    </row>
    <row r="1855" spans="1:6" x14ac:dyDescent="0.25">
      <c r="A1855">
        <v>6422747</v>
      </c>
      <c r="B1855" t="s">
        <v>1895</v>
      </c>
      <c r="C1855" t="str">
        <f>"9789811052682"</f>
        <v>9789811052682</v>
      </c>
      <c r="D1855" t="str">
        <f>"9789811052699"</f>
        <v>9789811052699</v>
      </c>
      <c r="E1855" t="s">
        <v>1177</v>
      </c>
      <c r="F1855" s="1">
        <v>43168</v>
      </c>
    </row>
    <row r="1856" spans="1:6" x14ac:dyDescent="0.25">
      <c r="A1856">
        <v>6422748</v>
      </c>
      <c r="B1856" t="s">
        <v>1896</v>
      </c>
      <c r="C1856" t="str">
        <f>"9783658158972"</f>
        <v>9783658158972</v>
      </c>
      <c r="D1856" t="str">
        <f>"9783658158989"</f>
        <v>9783658158989</v>
      </c>
      <c r="E1856" t="s">
        <v>1391</v>
      </c>
      <c r="F1856" s="1">
        <v>42794</v>
      </c>
    </row>
    <row r="1857" spans="1:6" x14ac:dyDescent="0.25">
      <c r="A1857">
        <v>6422749</v>
      </c>
      <c r="B1857" t="s">
        <v>1897</v>
      </c>
      <c r="C1857" t="str">
        <f>"9783319579658"</f>
        <v>9783319579658</v>
      </c>
      <c r="D1857" t="str">
        <f>"9783319579665"</f>
        <v>9783319579665</v>
      </c>
      <c r="E1857" t="s">
        <v>756</v>
      </c>
      <c r="F1857" s="1">
        <v>42873</v>
      </c>
    </row>
    <row r="1858" spans="1:6" x14ac:dyDescent="0.25">
      <c r="A1858">
        <v>6422750</v>
      </c>
      <c r="B1858" t="s">
        <v>1898</v>
      </c>
      <c r="C1858" t="str">
        <f>"9784431545880"</f>
        <v>9784431545880</v>
      </c>
      <c r="D1858" t="str">
        <f>"9784431545897"</f>
        <v>9784431545897</v>
      </c>
      <c r="E1858" t="s">
        <v>1401</v>
      </c>
      <c r="F1858" s="1">
        <v>41690</v>
      </c>
    </row>
    <row r="1859" spans="1:6" x14ac:dyDescent="0.25">
      <c r="A1859">
        <v>6422751</v>
      </c>
      <c r="B1859" t="s">
        <v>1899</v>
      </c>
      <c r="C1859" t="str">
        <f>"9783662564646"</f>
        <v>9783662564646</v>
      </c>
      <c r="D1859" t="str">
        <f>"9783662564653"</f>
        <v>9783662564653</v>
      </c>
      <c r="E1859" t="s">
        <v>1416</v>
      </c>
      <c r="F1859" s="1">
        <v>43199</v>
      </c>
    </row>
    <row r="1860" spans="1:6" x14ac:dyDescent="0.25">
      <c r="A1860">
        <v>6422752</v>
      </c>
      <c r="B1860" t="s">
        <v>1900</v>
      </c>
      <c r="C1860" t="str">
        <f>"9783319265889"</f>
        <v>9783319265889</v>
      </c>
      <c r="D1860" t="str">
        <f>"9783319265902"</f>
        <v>9783319265902</v>
      </c>
      <c r="E1860" t="s">
        <v>756</v>
      </c>
      <c r="F1860" s="1">
        <v>42478</v>
      </c>
    </row>
    <row r="1861" spans="1:6" x14ac:dyDescent="0.25">
      <c r="A1861">
        <v>6422753</v>
      </c>
      <c r="B1861" t="s">
        <v>1901</v>
      </c>
      <c r="C1861" t="str">
        <f>"9783319635545"</f>
        <v>9783319635545</v>
      </c>
      <c r="D1861" t="str">
        <f>"9783319635552"</f>
        <v>9783319635552</v>
      </c>
      <c r="E1861" t="s">
        <v>756</v>
      </c>
      <c r="F1861" s="1">
        <v>43206</v>
      </c>
    </row>
    <row r="1862" spans="1:6" x14ac:dyDescent="0.25">
      <c r="A1862">
        <v>6422754</v>
      </c>
      <c r="B1862" t="s">
        <v>1902</v>
      </c>
      <c r="C1862" t="str">
        <f>"9783658089641"</f>
        <v>9783658089641</v>
      </c>
      <c r="D1862" t="str">
        <f>"9783658089658"</f>
        <v>9783658089658</v>
      </c>
      <c r="E1862" t="s">
        <v>1391</v>
      </c>
      <c r="F1862" s="1">
        <v>42285</v>
      </c>
    </row>
    <row r="1863" spans="1:6" x14ac:dyDescent="0.25">
      <c r="A1863">
        <v>6422755</v>
      </c>
      <c r="B1863" t="s">
        <v>1903</v>
      </c>
      <c r="C1863" t="str">
        <f>"9789812874191"</f>
        <v>9789812874191</v>
      </c>
      <c r="D1863" t="str">
        <f>"9789812874207"</f>
        <v>9789812874207</v>
      </c>
      <c r="E1863" t="s">
        <v>1177</v>
      </c>
      <c r="F1863" s="1">
        <v>42104</v>
      </c>
    </row>
    <row r="1864" spans="1:6" x14ac:dyDescent="0.25">
      <c r="A1864">
        <v>6422756</v>
      </c>
      <c r="B1864" t="s">
        <v>1904</v>
      </c>
      <c r="C1864" t="str">
        <f>"9783319405681"</f>
        <v>9783319405681</v>
      </c>
      <c r="D1864" t="str">
        <f>"9783319405698"</f>
        <v>9783319405698</v>
      </c>
      <c r="E1864" t="s">
        <v>756</v>
      </c>
      <c r="F1864" s="1">
        <v>42586</v>
      </c>
    </row>
    <row r="1865" spans="1:6" x14ac:dyDescent="0.25">
      <c r="A1865">
        <v>6422757</v>
      </c>
      <c r="B1865" t="s">
        <v>1905</v>
      </c>
      <c r="C1865" t="str">
        <f>"9783658226978"</f>
        <v>9783658226978</v>
      </c>
      <c r="D1865" t="str">
        <f>"9783658226985"</f>
        <v>9783658226985</v>
      </c>
      <c r="E1865" t="s">
        <v>1391</v>
      </c>
      <c r="F1865" s="1">
        <v>43439</v>
      </c>
    </row>
    <row r="1866" spans="1:6" x14ac:dyDescent="0.25">
      <c r="A1866">
        <v>6422758</v>
      </c>
      <c r="B1866" t="s">
        <v>1906</v>
      </c>
      <c r="C1866" t="str">
        <f>"9783319990965"</f>
        <v>9783319990965</v>
      </c>
      <c r="D1866" t="str">
        <f>"9783319990972"</f>
        <v>9783319990972</v>
      </c>
      <c r="E1866" t="s">
        <v>756</v>
      </c>
      <c r="F1866" s="1">
        <v>43355</v>
      </c>
    </row>
    <row r="1867" spans="1:6" x14ac:dyDescent="0.25">
      <c r="A1867">
        <v>6422759</v>
      </c>
      <c r="B1867" t="s">
        <v>1907</v>
      </c>
      <c r="C1867" t="str">
        <f>"9783319786919"</f>
        <v>9783319786919</v>
      </c>
      <c r="D1867" t="str">
        <f>"9783319786926"</f>
        <v>9783319786926</v>
      </c>
      <c r="E1867" t="s">
        <v>756</v>
      </c>
      <c r="F1867" s="1">
        <v>43224</v>
      </c>
    </row>
    <row r="1868" spans="1:6" x14ac:dyDescent="0.25">
      <c r="A1868">
        <v>6422760</v>
      </c>
      <c r="B1868" t="s">
        <v>1908</v>
      </c>
      <c r="C1868" t="str">
        <f>"9784431558262"</f>
        <v>9784431558262</v>
      </c>
      <c r="D1868" t="str">
        <f>"9784431558286"</f>
        <v>9784431558286</v>
      </c>
      <c r="E1868" t="s">
        <v>1401</v>
      </c>
      <c r="F1868" s="1">
        <v>42447</v>
      </c>
    </row>
    <row r="1869" spans="1:6" x14ac:dyDescent="0.25">
      <c r="A1869">
        <v>6422761</v>
      </c>
      <c r="B1869" t="s">
        <v>1909</v>
      </c>
      <c r="C1869" t="str">
        <f>"9781430261483"</f>
        <v>9781430261483</v>
      </c>
      <c r="D1869" t="str">
        <f>"9781430261490"</f>
        <v>9781430261490</v>
      </c>
      <c r="E1869" t="s">
        <v>1604</v>
      </c>
      <c r="F1869" s="1">
        <v>41600</v>
      </c>
    </row>
    <row r="1870" spans="1:6" x14ac:dyDescent="0.25">
      <c r="A1870">
        <v>6422762</v>
      </c>
      <c r="B1870" t="s">
        <v>1910</v>
      </c>
      <c r="C1870" t="str">
        <f>""</f>
        <v/>
      </c>
      <c r="D1870" t="str">
        <f>"9783662562703"</f>
        <v>9783662562703</v>
      </c>
      <c r="E1870" t="s">
        <v>1416</v>
      </c>
      <c r="F1870" s="1">
        <v>43069</v>
      </c>
    </row>
    <row r="1871" spans="1:6" x14ac:dyDescent="0.25">
      <c r="A1871">
        <v>6422763</v>
      </c>
      <c r="B1871" t="s">
        <v>1911</v>
      </c>
      <c r="C1871" t="str">
        <f>"9783658269593"</f>
        <v>9783658269593</v>
      </c>
      <c r="D1871" t="str">
        <f>"9783658269609"</f>
        <v>9783658269609</v>
      </c>
      <c r="E1871" t="s">
        <v>1391</v>
      </c>
      <c r="F1871" s="1">
        <v>43775</v>
      </c>
    </row>
    <row r="1872" spans="1:6" x14ac:dyDescent="0.25">
      <c r="A1872">
        <v>6422764</v>
      </c>
      <c r="B1872" t="s">
        <v>1912</v>
      </c>
      <c r="C1872" t="str">
        <f>"9783658125325"</f>
        <v>9783658125325</v>
      </c>
      <c r="D1872" t="str">
        <f>"9783658125332"</f>
        <v>9783658125332</v>
      </c>
      <c r="E1872" t="s">
        <v>1391</v>
      </c>
      <c r="F1872" s="1">
        <v>42719</v>
      </c>
    </row>
    <row r="1873" spans="1:6" x14ac:dyDescent="0.25">
      <c r="A1873">
        <v>6422765</v>
      </c>
      <c r="B1873" t="s">
        <v>1913</v>
      </c>
      <c r="C1873" t="str">
        <f>"9783319137636"</f>
        <v>9783319137636</v>
      </c>
      <c r="D1873" t="str">
        <f>"9783319137643"</f>
        <v>9783319137643</v>
      </c>
      <c r="E1873" t="s">
        <v>756</v>
      </c>
      <c r="F1873" s="1">
        <v>42030</v>
      </c>
    </row>
    <row r="1874" spans="1:6" x14ac:dyDescent="0.25">
      <c r="A1874">
        <v>6422766</v>
      </c>
      <c r="B1874" t="s">
        <v>1914</v>
      </c>
      <c r="C1874" t="str">
        <f>"9781430265832"</f>
        <v>9781430265832</v>
      </c>
      <c r="D1874" t="str">
        <f>"9781430265849"</f>
        <v>9781430265849</v>
      </c>
      <c r="E1874" t="s">
        <v>1604</v>
      </c>
      <c r="F1874" s="1">
        <v>42028</v>
      </c>
    </row>
    <row r="1875" spans="1:6" x14ac:dyDescent="0.25">
      <c r="A1875">
        <v>6422767</v>
      </c>
      <c r="B1875" t="s">
        <v>1915</v>
      </c>
      <c r="C1875" t="str">
        <f>"9783319597331"</f>
        <v>9783319597331</v>
      </c>
      <c r="D1875" t="str">
        <f>"9783319597348"</f>
        <v>9783319597348</v>
      </c>
      <c r="E1875" t="s">
        <v>756</v>
      </c>
      <c r="F1875" s="1">
        <v>43082</v>
      </c>
    </row>
    <row r="1876" spans="1:6" x14ac:dyDescent="0.25">
      <c r="A1876">
        <v>6422768</v>
      </c>
      <c r="B1876" t="s">
        <v>1916</v>
      </c>
      <c r="C1876" t="str">
        <f>"9783319548128"</f>
        <v>9783319548128</v>
      </c>
      <c r="D1876" t="str">
        <f>"9783319548135"</f>
        <v>9783319548135</v>
      </c>
      <c r="E1876" t="s">
        <v>756</v>
      </c>
      <c r="F1876" s="1">
        <v>43010</v>
      </c>
    </row>
    <row r="1877" spans="1:6" x14ac:dyDescent="0.25">
      <c r="A1877">
        <v>6422769</v>
      </c>
      <c r="B1877" t="s">
        <v>1917</v>
      </c>
      <c r="C1877" t="str">
        <f>"9783642417030"</f>
        <v>9783642417030</v>
      </c>
      <c r="D1877" t="str">
        <f>"9783642417047"</f>
        <v>9783642417047</v>
      </c>
      <c r="E1877" t="s">
        <v>1416</v>
      </c>
      <c r="F1877" s="1">
        <v>41620</v>
      </c>
    </row>
    <row r="1878" spans="1:6" x14ac:dyDescent="0.25">
      <c r="A1878">
        <v>6422770</v>
      </c>
      <c r="B1878" t="s">
        <v>1918</v>
      </c>
      <c r="C1878" t="str">
        <f>"9781493934454"</f>
        <v>9781493934454</v>
      </c>
      <c r="D1878" t="str">
        <f>"9781493934478"</f>
        <v>9781493934478</v>
      </c>
      <c r="E1878" t="s">
        <v>1850</v>
      </c>
      <c r="F1878" s="1">
        <v>42913</v>
      </c>
    </row>
    <row r="1879" spans="1:6" x14ac:dyDescent="0.25">
      <c r="A1879">
        <v>6422771</v>
      </c>
      <c r="B1879" t="s">
        <v>1919</v>
      </c>
      <c r="C1879" t="str">
        <f>"9783319510187"</f>
        <v>9783319510187</v>
      </c>
      <c r="D1879" t="str">
        <f>"9783319510200"</f>
        <v>9783319510200</v>
      </c>
      <c r="E1879" t="s">
        <v>756</v>
      </c>
      <c r="F1879" s="1">
        <v>42877</v>
      </c>
    </row>
    <row r="1880" spans="1:6" x14ac:dyDescent="0.25">
      <c r="A1880">
        <v>6422772</v>
      </c>
      <c r="B1880" t="s">
        <v>1920</v>
      </c>
      <c r="C1880" t="str">
        <f>"9783662598948"</f>
        <v>9783662598948</v>
      </c>
      <c r="D1880" t="str">
        <f>"9783662598955"</f>
        <v>9783662598955</v>
      </c>
      <c r="E1880" t="s">
        <v>1416</v>
      </c>
      <c r="F1880" s="1">
        <v>43844</v>
      </c>
    </row>
    <row r="1881" spans="1:6" x14ac:dyDescent="0.25">
      <c r="A1881">
        <v>6422774</v>
      </c>
      <c r="B1881" t="s">
        <v>1921</v>
      </c>
      <c r="C1881" t="str">
        <f>"9783319329383"</f>
        <v>9783319329383</v>
      </c>
      <c r="D1881" t="str">
        <f>"9783319329390"</f>
        <v>9783319329390</v>
      </c>
      <c r="E1881" t="s">
        <v>756</v>
      </c>
      <c r="F1881" s="1">
        <v>42968</v>
      </c>
    </row>
    <row r="1882" spans="1:6" x14ac:dyDescent="0.25">
      <c r="A1882">
        <v>6422775</v>
      </c>
      <c r="B1882" t="s">
        <v>1922</v>
      </c>
      <c r="C1882" t="str">
        <f>"9783319527543"</f>
        <v>9783319527543</v>
      </c>
      <c r="D1882" t="str">
        <f>"9783319527550"</f>
        <v>9783319527550</v>
      </c>
      <c r="E1882" t="s">
        <v>756</v>
      </c>
      <c r="F1882" s="1">
        <v>42839</v>
      </c>
    </row>
    <row r="1883" spans="1:6" x14ac:dyDescent="0.25">
      <c r="A1883">
        <v>6422776</v>
      </c>
      <c r="B1883" t="s">
        <v>1923</v>
      </c>
      <c r="C1883" t="str">
        <f>"9783319911335"</f>
        <v>9783319911335</v>
      </c>
      <c r="D1883" t="str">
        <f>"9783319911342"</f>
        <v>9783319911342</v>
      </c>
      <c r="E1883" t="s">
        <v>756</v>
      </c>
      <c r="F1883" s="1">
        <v>43427</v>
      </c>
    </row>
    <row r="1884" spans="1:6" x14ac:dyDescent="0.25">
      <c r="A1884">
        <v>6422777</v>
      </c>
      <c r="B1884" t="s">
        <v>1924</v>
      </c>
      <c r="C1884" t="str">
        <f>"9783319607139"</f>
        <v>9783319607139</v>
      </c>
      <c r="D1884" t="str">
        <f>"9783319607146"</f>
        <v>9783319607146</v>
      </c>
      <c r="E1884" t="s">
        <v>756</v>
      </c>
      <c r="F1884" s="1">
        <v>43026</v>
      </c>
    </row>
    <row r="1885" spans="1:6" x14ac:dyDescent="0.25">
      <c r="A1885">
        <v>6422778</v>
      </c>
      <c r="B1885" t="s">
        <v>1925</v>
      </c>
      <c r="C1885" t="str">
        <f>"9781430261575"</f>
        <v>9781430261575</v>
      </c>
      <c r="D1885" t="str">
        <f>"9781430261582"</f>
        <v>9781430261582</v>
      </c>
      <c r="E1885" t="s">
        <v>1604</v>
      </c>
      <c r="F1885" s="1">
        <v>41726</v>
      </c>
    </row>
    <row r="1886" spans="1:6" x14ac:dyDescent="0.25">
      <c r="A1886">
        <v>6422779</v>
      </c>
      <c r="B1886" t="s">
        <v>1926</v>
      </c>
      <c r="C1886" t="str">
        <f>"9783642050862"</f>
        <v>9783642050862</v>
      </c>
      <c r="D1886" t="str">
        <f>"9783642050879"</f>
        <v>9783642050879</v>
      </c>
      <c r="E1886" t="s">
        <v>1416</v>
      </c>
      <c r="F1886" s="1">
        <v>40890</v>
      </c>
    </row>
    <row r="1887" spans="1:6" x14ac:dyDescent="0.25">
      <c r="A1887">
        <v>6422780</v>
      </c>
      <c r="B1887" t="s">
        <v>1927</v>
      </c>
      <c r="C1887" t="str">
        <f>"9783319071176"</f>
        <v>9783319071176</v>
      </c>
      <c r="D1887" t="str">
        <f>"9783319071183"</f>
        <v>9783319071183</v>
      </c>
      <c r="E1887" t="s">
        <v>756</v>
      </c>
      <c r="F1887" s="1">
        <v>41897</v>
      </c>
    </row>
    <row r="1888" spans="1:6" x14ac:dyDescent="0.25">
      <c r="A1888">
        <v>6422782</v>
      </c>
      <c r="B1888" t="s">
        <v>1928</v>
      </c>
      <c r="C1888" t="str">
        <f>"9783319956596"</f>
        <v>9783319956596</v>
      </c>
      <c r="D1888" t="str">
        <f>"9783319956602"</f>
        <v>9783319956602</v>
      </c>
      <c r="E1888" t="s">
        <v>756</v>
      </c>
      <c r="F1888" s="1">
        <v>43371</v>
      </c>
    </row>
    <row r="1889" spans="1:6" x14ac:dyDescent="0.25">
      <c r="A1889">
        <v>6422783</v>
      </c>
      <c r="B1889" t="s">
        <v>1929</v>
      </c>
      <c r="C1889" t="str">
        <f>"9783642404023"</f>
        <v>9783642404023</v>
      </c>
      <c r="D1889" t="str">
        <f>"9783642404030"</f>
        <v>9783642404030</v>
      </c>
      <c r="E1889" t="s">
        <v>1416</v>
      </c>
      <c r="F1889" s="1">
        <v>41592</v>
      </c>
    </row>
    <row r="1890" spans="1:6" x14ac:dyDescent="0.25">
      <c r="A1890">
        <v>6422784</v>
      </c>
      <c r="B1890" t="s">
        <v>1930</v>
      </c>
      <c r="C1890" t="str">
        <f>"9783662568217"</f>
        <v>9783662568217</v>
      </c>
      <c r="D1890" t="str">
        <f>"9783662568224"</f>
        <v>9783662568224</v>
      </c>
      <c r="E1890" t="s">
        <v>1416</v>
      </c>
      <c r="F1890" s="1">
        <v>43256</v>
      </c>
    </row>
    <row r="1891" spans="1:6" x14ac:dyDescent="0.25">
      <c r="A1891">
        <v>6422785</v>
      </c>
      <c r="B1891" t="s">
        <v>1931</v>
      </c>
      <c r="C1891" t="str">
        <f>"9783319023984"</f>
        <v>9783319023984</v>
      </c>
      <c r="D1891" t="str">
        <f>"9783319023991"</f>
        <v>9783319023991</v>
      </c>
      <c r="E1891" t="s">
        <v>756</v>
      </c>
      <c r="F1891" s="1">
        <v>42025</v>
      </c>
    </row>
    <row r="1892" spans="1:6" x14ac:dyDescent="0.25">
      <c r="A1892">
        <v>6422786</v>
      </c>
      <c r="B1892" t="s">
        <v>1932</v>
      </c>
      <c r="C1892" t="str">
        <f>"9783319583877"</f>
        <v>9783319583877</v>
      </c>
      <c r="D1892" t="str">
        <f>"9783319583884"</f>
        <v>9783319583884</v>
      </c>
      <c r="E1892" t="s">
        <v>756</v>
      </c>
      <c r="F1892" s="1">
        <v>43035</v>
      </c>
    </row>
    <row r="1893" spans="1:6" x14ac:dyDescent="0.25">
      <c r="A1893">
        <v>6422788</v>
      </c>
      <c r="B1893" t="s">
        <v>1933</v>
      </c>
      <c r="C1893" t="str">
        <f>"9783642540332"</f>
        <v>9783642540332</v>
      </c>
      <c r="D1893" t="str">
        <f>"9783642540349"</f>
        <v>9783642540349</v>
      </c>
      <c r="E1893" t="s">
        <v>1416</v>
      </c>
      <c r="F1893" s="1">
        <v>41703</v>
      </c>
    </row>
    <row r="1894" spans="1:6" x14ac:dyDescent="0.25">
      <c r="A1894">
        <v>6422789</v>
      </c>
      <c r="B1894" t="s">
        <v>1934</v>
      </c>
      <c r="C1894" t="str">
        <f>"9783658144388"</f>
        <v>9783658144388</v>
      </c>
      <c r="D1894" t="str">
        <f>"9783658144395"</f>
        <v>9783658144395</v>
      </c>
      <c r="E1894" t="s">
        <v>1391</v>
      </c>
      <c r="F1894" s="1">
        <v>42754</v>
      </c>
    </row>
    <row r="1895" spans="1:6" x14ac:dyDescent="0.25">
      <c r="A1895">
        <v>6422790</v>
      </c>
      <c r="B1895" t="s">
        <v>1935</v>
      </c>
      <c r="C1895" t="str">
        <f>"9783319469386"</f>
        <v>9783319469386</v>
      </c>
      <c r="D1895" t="str">
        <f>"9783319469393"</f>
        <v>9783319469393</v>
      </c>
      <c r="E1895" t="s">
        <v>756</v>
      </c>
      <c r="F1895" s="1">
        <v>42747</v>
      </c>
    </row>
    <row r="1896" spans="1:6" x14ac:dyDescent="0.25">
      <c r="A1896">
        <v>6422791</v>
      </c>
      <c r="B1896" t="s">
        <v>1936</v>
      </c>
      <c r="C1896" t="str">
        <f>"9783662504468"</f>
        <v>9783662504468</v>
      </c>
      <c r="D1896" t="str">
        <f>"9783662504475"</f>
        <v>9783662504475</v>
      </c>
      <c r="E1896" t="s">
        <v>1416</v>
      </c>
      <c r="F1896" s="1">
        <v>42604</v>
      </c>
    </row>
    <row r="1897" spans="1:6" x14ac:dyDescent="0.25">
      <c r="A1897">
        <v>6422792</v>
      </c>
      <c r="B1897" t="s">
        <v>1937</v>
      </c>
      <c r="C1897" t="str">
        <f>"9783319040929"</f>
        <v>9783319040929</v>
      </c>
      <c r="D1897" t="str">
        <f>"9783319040936"</f>
        <v>9783319040936</v>
      </c>
      <c r="E1897" t="s">
        <v>756</v>
      </c>
      <c r="F1897" s="1">
        <v>41974</v>
      </c>
    </row>
    <row r="1898" spans="1:6" x14ac:dyDescent="0.25">
      <c r="A1898">
        <v>6422793</v>
      </c>
      <c r="B1898" t="s">
        <v>1938</v>
      </c>
      <c r="C1898" t="str">
        <f>"9783319336657"</f>
        <v>9783319336657</v>
      </c>
      <c r="D1898" t="str">
        <f>"9783319336664"</f>
        <v>9783319336664</v>
      </c>
      <c r="E1898" t="s">
        <v>756</v>
      </c>
      <c r="F1898" s="1">
        <v>42550</v>
      </c>
    </row>
    <row r="1899" spans="1:6" x14ac:dyDescent="0.25">
      <c r="A1899">
        <v>6422794</v>
      </c>
      <c r="B1899" t="s">
        <v>1939</v>
      </c>
      <c r="C1899" t="str">
        <f>"9783319544625"</f>
        <v>9783319544625</v>
      </c>
      <c r="D1899" t="str">
        <f>"9783319544632"</f>
        <v>9783319544632</v>
      </c>
      <c r="E1899" t="s">
        <v>756</v>
      </c>
      <c r="F1899" s="1">
        <v>42894</v>
      </c>
    </row>
    <row r="1900" spans="1:6" x14ac:dyDescent="0.25">
      <c r="A1900">
        <v>6422795</v>
      </c>
      <c r="B1900" t="s">
        <v>1940</v>
      </c>
      <c r="C1900" t="str">
        <f>"9783319140896"</f>
        <v>9783319140896</v>
      </c>
      <c r="D1900" t="str">
        <f>"9783319140902"</f>
        <v>9783319140902</v>
      </c>
      <c r="E1900" t="s">
        <v>756</v>
      </c>
      <c r="F1900" s="1">
        <v>42185</v>
      </c>
    </row>
    <row r="1901" spans="1:6" x14ac:dyDescent="0.25">
      <c r="A1901">
        <v>6422796</v>
      </c>
      <c r="B1901" t="s">
        <v>1941</v>
      </c>
      <c r="C1901" t="str">
        <f>"9783319466835"</f>
        <v>9783319466835</v>
      </c>
      <c r="D1901" t="str">
        <f>"9783319466842"</f>
        <v>9783319466842</v>
      </c>
      <c r="E1901" t="s">
        <v>756</v>
      </c>
      <c r="F1901" s="1">
        <v>43111</v>
      </c>
    </row>
    <row r="1902" spans="1:6" x14ac:dyDescent="0.25">
      <c r="A1902">
        <v>6422797</v>
      </c>
      <c r="B1902" t="s">
        <v>1942</v>
      </c>
      <c r="C1902" t="str">
        <f>"9783658292966"</f>
        <v>9783658292966</v>
      </c>
      <c r="D1902" t="str">
        <f>"9783658292973"</f>
        <v>9783658292973</v>
      </c>
      <c r="E1902" t="s">
        <v>1391</v>
      </c>
      <c r="F1902" s="1">
        <v>43904</v>
      </c>
    </row>
    <row r="1903" spans="1:6" x14ac:dyDescent="0.25">
      <c r="A1903">
        <v>6422798</v>
      </c>
      <c r="B1903" t="s">
        <v>1943</v>
      </c>
      <c r="C1903" t="str">
        <f>"9783642302404"</f>
        <v>9783642302404</v>
      </c>
      <c r="D1903" t="str">
        <f>"9783642302411"</f>
        <v>9783642302411</v>
      </c>
      <c r="E1903" t="s">
        <v>1416</v>
      </c>
      <c r="F1903" s="1">
        <v>41037</v>
      </c>
    </row>
    <row r="1904" spans="1:6" x14ac:dyDescent="0.25">
      <c r="A1904">
        <v>6422799</v>
      </c>
      <c r="B1904" t="s">
        <v>1944</v>
      </c>
      <c r="C1904" t="str">
        <f>"9783319310619"</f>
        <v>9783319310619</v>
      </c>
      <c r="D1904" t="str">
        <f>"9783319310633"</f>
        <v>9783319310633</v>
      </c>
      <c r="E1904" t="s">
        <v>756</v>
      </c>
      <c r="F1904" s="1">
        <v>42578</v>
      </c>
    </row>
    <row r="1905" spans="1:6" x14ac:dyDescent="0.25">
      <c r="A1905">
        <v>6422800</v>
      </c>
      <c r="B1905" t="s">
        <v>1945</v>
      </c>
      <c r="C1905" t="str">
        <f>"9783319913995"</f>
        <v>9783319913995</v>
      </c>
      <c r="D1905" t="str">
        <f>"9783319914008"</f>
        <v>9783319914008</v>
      </c>
      <c r="E1905" t="s">
        <v>756</v>
      </c>
      <c r="F1905" s="1">
        <v>43343</v>
      </c>
    </row>
    <row r="1906" spans="1:6" x14ac:dyDescent="0.25">
      <c r="A1906">
        <v>6422801</v>
      </c>
      <c r="B1906" t="s">
        <v>1946</v>
      </c>
      <c r="C1906" t="str">
        <f>"9781430259893"</f>
        <v>9781430259893</v>
      </c>
      <c r="D1906" t="str">
        <f>"9781430259909"</f>
        <v>9781430259909</v>
      </c>
      <c r="E1906" t="s">
        <v>1604</v>
      </c>
      <c r="F1906" s="1">
        <v>42124</v>
      </c>
    </row>
    <row r="1907" spans="1:6" x14ac:dyDescent="0.25">
      <c r="A1907">
        <v>6422803</v>
      </c>
      <c r="B1907" t="s">
        <v>1947</v>
      </c>
      <c r="C1907" t="str">
        <f>"9783319175416"</f>
        <v>9783319175416</v>
      </c>
      <c r="D1907" t="str">
        <f>"9783319175423"</f>
        <v>9783319175423</v>
      </c>
      <c r="E1907" t="s">
        <v>756</v>
      </c>
      <c r="F1907" s="1">
        <v>42165</v>
      </c>
    </row>
    <row r="1908" spans="1:6" x14ac:dyDescent="0.25">
      <c r="A1908">
        <v>6422804</v>
      </c>
      <c r="B1908" t="s">
        <v>1948</v>
      </c>
      <c r="C1908" t="str">
        <f>"9783319643366"</f>
        <v>9783319643366</v>
      </c>
      <c r="D1908" t="str">
        <f>"9783319643373"</f>
        <v>9783319643373</v>
      </c>
      <c r="E1908" t="s">
        <v>756</v>
      </c>
      <c r="F1908" s="1">
        <v>43118</v>
      </c>
    </row>
    <row r="1909" spans="1:6" x14ac:dyDescent="0.25">
      <c r="A1909">
        <v>6422806</v>
      </c>
      <c r="B1909" t="s">
        <v>1949</v>
      </c>
      <c r="C1909" t="str">
        <f>"9783319099903"</f>
        <v>9783319099903</v>
      </c>
      <c r="D1909" t="str">
        <f>"9783319099910"</f>
        <v>9783319099910</v>
      </c>
      <c r="E1909" t="s">
        <v>756</v>
      </c>
      <c r="F1909" s="1">
        <v>41908</v>
      </c>
    </row>
    <row r="1910" spans="1:6" x14ac:dyDescent="0.25">
      <c r="A1910">
        <v>6422807</v>
      </c>
      <c r="B1910" t="s">
        <v>1950</v>
      </c>
      <c r="C1910" t="str">
        <f>"9781430265719"</f>
        <v>9781430265719</v>
      </c>
      <c r="D1910" t="str">
        <f>"9781430265726"</f>
        <v>9781430265726</v>
      </c>
      <c r="E1910" t="s">
        <v>1604</v>
      </c>
      <c r="F1910" s="1">
        <v>41860</v>
      </c>
    </row>
    <row r="1911" spans="1:6" x14ac:dyDescent="0.25">
      <c r="A1911">
        <v>6422808</v>
      </c>
      <c r="B1911" t="s">
        <v>1951</v>
      </c>
      <c r="C1911" t="str">
        <f>"9783030615697"</f>
        <v>9783030615697</v>
      </c>
      <c r="D1911" t="str">
        <f>"9783030615703"</f>
        <v>9783030615703</v>
      </c>
      <c r="E1911" t="s">
        <v>756</v>
      </c>
      <c r="F1911" s="1">
        <v>44175</v>
      </c>
    </row>
    <row r="1912" spans="1:6" x14ac:dyDescent="0.25">
      <c r="A1912">
        <v>6422809</v>
      </c>
      <c r="B1912" t="s">
        <v>1952</v>
      </c>
      <c r="C1912" t="str">
        <f>"9783319715315"</f>
        <v>9783319715315</v>
      </c>
      <c r="D1912" t="str">
        <f>"9783319715322"</f>
        <v>9783319715322</v>
      </c>
      <c r="E1912" t="s">
        <v>756</v>
      </c>
      <c r="F1912" s="1">
        <v>43150</v>
      </c>
    </row>
    <row r="1913" spans="1:6" x14ac:dyDescent="0.25">
      <c r="A1913">
        <v>6422811</v>
      </c>
      <c r="B1913" t="s">
        <v>1953</v>
      </c>
      <c r="C1913" t="str">
        <f>"9783658125011"</f>
        <v>9783658125011</v>
      </c>
      <c r="D1913" t="str">
        <f>"9783658125028"</f>
        <v>9783658125028</v>
      </c>
      <c r="E1913" t="s">
        <v>1391</v>
      </c>
      <c r="F1913" s="1">
        <v>42668</v>
      </c>
    </row>
    <row r="1914" spans="1:6" x14ac:dyDescent="0.25">
      <c r="A1914">
        <v>6422812</v>
      </c>
      <c r="B1914" t="s">
        <v>1954</v>
      </c>
      <c r="C1914" t="str">
        <f>"9783319727899"</f>
        <v>9783319727899</v>
      </c>
      <c r="D1914" t="str">
        <f>"9783319727905"</f>
        <v>9783319727905</v>
      </c>
      <c r="E1914" t="s">
        <v>756</v>
      </c>
      <c r="F1914" s="1">
        <v>43175</v>
      </c>
    </row>
    <row r="1915" spans="1:6" x14ac:dyDescent="0.25">
      <c r="A1915">
        <v>6422813</v>
      </c>
      <c r="B1915" t="s">
        <v>1955</v>
      </c>
      <c r="C1915" t="str">
        <f>"9789811073915"</f>
        <v>9789811073915</v>
      </c>
      <c r="D1915" t="str">
        <f>"9789811073922"</f>
        <v>9789811073922</v>
      </c>
      <c r="E1915" t="s">
        <v>1177</v>
      </c>
      <c r="F1915" s="1">
        <v>43122</v>
      </c>
    </row>
    <row r="1916" spans="1:6" x14ac:dyDescent="0.25">
      <c r="A1916">
        <v>6422817</v>
      </c>
      <c r="B1916" t="s">
        <v>1956</v>
      </c>
      <c r="C1916" t="str">
        <f>"9789400770874"</f>
        <v>9789400770874</v>
      </c>
      <c r="D1916" t="str">
        <f>"9789400770881"</f>
        <v>9789400770881</v>
      </c>
      <c r="E1916" t="s">
        <v>1458</v>
      </c>
      <c r="F1916" s="1">
        <v>41551</v>
      </c>
    </row>
    <row r="1917" spans="1:6" x14ac:dyDescent="0.25">
      <c r="A1917">
        <v>6422819</v>
      </c>
      <c r="B1917" t="s">
        <v>1957</v>
      </c>
      <c r="C1917" t="str">
        <f>"9783658169800"</f>
        <v>9783658169800</v>
      </c>
      <c r="D1917" t="str">
        <f>"9783658169817"</f>
        <v>9783658169817</v>
      </c>
      <c r="E1917" t="s">
        <v>1391</v>
      </c>
      <c r="F1917" s="1">
        <v>42954</v>
      </c>
    </row>
    <row r="1918" spans="1:6" x14ac:dyDescent="0.25">
      <c r="A1918">
        <v>6422820</v>
      </c>
      <c r="B1918" t="s">
        <v>1958</v>
      </c>
      <c r="C1918" t="str">
        <f>"9783319786100"</f>
        <v>9783319786100</v>
      </c>
      <c r="D1918" t="str">
        <f>"9783319789347"</f>
        <v>9783319789347</v>
      </c>
      <c r="E1918" t="s">
        <v>756</v>
      </c>
      <c r="F1918" s="1">
        <v>43480</v>
      </c>
    </row>
    <row r="1919" spans="1:6" x14ac:dyDescent="0.25">
      <c r="A1919">
        <v>6422821</v>
      </c>
      <c r="B1919" t="s">
        <v>1959</v>
      </c>
      <c r="C1919" t="str">
        <f>"9783319323930"</f>
        <v>9783319323930</v>
      </c>
      <c r="D1919" t="str">
        <f>"9783319323947"</f>
        <v>9783319323947</v>
      </c>
      <c r="E1919" t="s">
        <v>756</v>
      </c>
      <c r="F1919" s="1">
        <v>42569</v>
      </c>
    </row>
    <row r="1920" spans="1:6" x14ac:dyDescent="0.25">
      <c r="A1920">
        <v>6422822</v>
      </c>
      <c r="B1920" t="s">
        <v>1960</v>
      </c>
      <c r="C1920" t="str">
        <f>"9783319947990"</f>
        <v>9783319947990</v>
      </c>
      <c r="D1920" t="str">
        <f>"9783319948003"</f>
        <v>9783319948003</v>
      </c>
      <c r="E1920" t="s">
        <v>756</v>
      </c>
      <c r="F1920" s="1">
        <v>43357</v>
      </c>
    </row>
    <row r="1921" spans="1:6" x14ac:dyDescent="0.25">
      <c r="A1921">
        <v>6422823</v>
      </c>
      <c r="B1921" t="s">
        <v>1961</v>
      </c>
      <c r="C1921" t="str">
        <f>"9783658226473"</f>
        <v>9783658226473</v>
      </c>
      <c r="D1921" t="str">
        <f>"9783658226480"</f>
        <v>9783658226480</v>
      </c>
      <c r="E1921" t="s">
        <v>1391</v>
      </c>
      <c r="F1921" s="1">
        <v>43349</v>
      </c>
    </row>
    <row r="1922" spans="1:6" x14ac:dyDescent="0.25">
      <c r="A1922">
        <v>6422825</v>
      </c>
      <c r="B1922" t="s">
        <v>1962</v>
      </c>
      <c r="C1922" t="str">
        <f>"9783319389677"</f>
        <v>9783319389677</v>
      </c>
      <c r="D1922" t="str">
        <f>"9783319389684"</f>
        <v>9783319389684</v>
      </c>
      <c r="E1922" t="s">
        <v>756</v>
      </c>
      <c r="F1922" s="1">
        <v>42549</v>
      </c>
    </row>
    <row r="1923" spans="1:6" x14ac:dyDescent="0.25">
      <c r="A1923">
        <v>6422826</v>
      </c>
      <c r="B1923" t="s">
        <v>1963</v>
      </c>
      <c r="C1923" t="str">
        <f>"9789812873804"</f>
        <v>9789812873804</v>
      </c>
      <c r="D1923" t="str">
        <f>"9789812873811"</f>
        <v>9789812873811</v>
      </c>
      <c r="E1923" t="s">
        <v>1177</v>
      </c>
      <c r="F1923" s="1">
        <v>42121</v>
      </c>
    </row>
    <row r="1924" spans="1:6" x14ac:dyDescent="0.25">
      <c r="A1924">
        <v>6422827</v>
      </c>
      <c r="B1924" t="s">
        <v>1964</v>
      </c>
      <c r="C1924" t="str">
        <f>"9781430264965"</f>
        <v>9781430264965</v>
      </c>
      <c r="D1924" t="str">
        <f>"9781430264972"</f>
        <v>9781430264972</v>
      </c>
      <c r="E1924" t="s">
        <v>1604</v>
      </c>
      <c r="F1924" s="1">
        <v>41918</v>
      </c>
    </row>
    <row r="1925" spans="1:6" x14ac:dyDescent="0.25">
      <c r="A1925">
        <v>6422828</v>
      </c>
      <c r="B1925" t="s">
        <v>1965</v>
      </c>
      <c r="C1925" t="str">
        <f>"9783030513153"</f>
        <v>9783030513153</v>
      </c>
      <c r="D1925" t="str">
        <f>"9783030513160"</f>
        <v>9783030513160</v>
      </c>
      <c r="E1925" t="s">
        <v>756</v>
      </c>
      <c r="F1925" s="1">
        <v>44173</v>
      </c>
    </row>
    <row r="1926" spans="1:6" x14ac:dyDescent="0.25">
      <c r="A1926">
        <v>6422829</v>
      </c>
      <c r="B1926" t="s">
        <v>1966</v>
      </c>
      <c r="C1926" t="str">
        <f>"9783319205700"</f>
        <v>9783319205700</v>
      </c>
      <c r="D1926" t="str">
        <f>"9783319205717"</f>
        <v>9783319205717</v>
      </c>
      <c r="E1926" t="s">
        <v>756</v>
      </c>
      <c r="F1926" s="1">
        <v>42356</v>
      </c>
    </row>
    <row r="1927" spans="1:6" x14ac:dyDescent="0.25">
      <c r="A1927">
        <v>6422830</v>
      </c>
      <c r="B1927" t="s">
        <v>1967</v>
      </c>
      <c r="C1927" t="str">
        <f>"9783658216580"</f>
        <v>9783658216580</v>
      </c>
      <c r="D1927" t="str">
        <f>"9783658216597"</f>
        <v>9783658216597</v>
      </c>
      <c r="E1927" t="s">
        <v>1391</v>
      </c>
      <c r="F1927" s="1">
        <v>43805</v>
      </c>
    </row>
    <row r="1928" spans="1:6" x14ac:dyDescent="0.25">
      <c r="A1928">
        <v>6422831</v>
      </c>
      <c r="B1928" t="s">
        <v>1968</v>
      </c>
      <c r="C1928" t="str">
        <f>"9789400779594"</f>
        <v>9789400779594</v>
      </c>
      <c r="D1928" t="str">
        <f>"9789400779600"</f>
        <v>9789400779600</v>
      </c>
      <c r="E1928" t="s">
        <v>1458</v>
      </c>
      <c r="F1928" s="1">
        <v>41667</v>
      </c>
    </row>
    <row r="1929" spans="1:6" x14ac:dyDescent="0.25">
      <c r="A1929">
        <v>6422832</v>
      </c>
      <c r="B1929" t="s">
        <v>1969</v>
      </c>
      <c r="C1929" t="str">
        <f>"9783642333767"</f>
        <v>9783642333767</v>
      </c>
      <c r="D1929" t="str">
        <f>"9783642333774"</f>
        <v>9783642333774</v>
      </c>
      <c r="E1929" t="s">
        <v>1416</v>
      </c>
      <c r="F1929" s="1">
        <v>41381</v>
      </c>
    </row>
    <row r="1930" spans="1:6" x14ac:dyDescent="0.25">
      <c r="A1930">
        <v>6422833</v>
      </c>
      <c r="B1930" t="s">
        <v>1970</v>
      </c>
      <c r="C1930" t="str">
        <f>"9783658049157"</f>
        <v>9783658049157</v>
      </c>
      <c r="D1930" t="str">
        <f>"9783658049164"</f>
        <v>9783658049164</v>
      </c>
      <c r="E1930" t="s">
        <v>1391</v>
      </c>
      <c r="F1930" s="1">
        <v>41911</v>
      </c>
    </row>
    <row r="1931" spans="1:6" x14ac:dyDescent="0.25">
      <c r="A1931">
        <v>6422834</v>
      </c>
      <c r="B1931" t="s">
        <v>1971</v>
      </c>
      <c r="C1931" t="str">
        <f>"9783319316246"</f>
        <v>9783319316246</v>
      </c>
      <c r="D1931" t="str">
        <f>"9783319316253"</f>
        <v>9783319316253</v>
      </c>
      <c r="E1931" t="s">
        <v>756</v>
      </c>
      <c r="F1931" s="1">
        <v>42586</v>
      </c>
    </row>
    <row r="1932" spans="1:6" x14ac:dyDescent="0.25">
      <c r="A1932">
        <v>6422835</v>
      </c>
      <c r="B1932" t="s">
        <v>1972</v>
      </c>
      <c r="C1932" t="str">
        <f>"9784431551256"</f>
        <v>9784431551256</v>
      </c>
      <c r="D1932" t="str">
        <f>"9784431551928"</f>
        <v>9784431551928</v>
      </c>
      <c r="E1932" t="s">
        <v>1401</v>
      </c>
      <c r="F1932" s="1">
        <v>41978</v>
      </c>
    </row>
    <row r="1933" spans="1:6" x14ac:dyDescent="0.25">
      <c r="A1933">
        <v>6422836</v>
      </c>
      <c r="B1933" t="s">
        <v>1973</v>
      </c>
      <c r="C1933" t="str">
        <f>"9789401786775"</f>
        <v>9789401786775</v>
      </c>
      <c r="D1933" t="str">
        <f>"9789401786782"</f>
        <v>9789401786782</v>
      </c>
      <c r="E1933" t="s">
        <v>1458</v>
      </c>
      <c r="F1933" s="1">
        <v>41884</v>
      </c>
    </row>
    <row r="1934" spans="1:6" x14ac:dyDescent="0.25">
      <c r="A1934">
        <v>6422837</v>
      </c>
      <c r="B1934" t="s">
        <v>1974</v>
      </c>
      <c r="C1934" t="str">
        <f>"9784431545583"</f>
        <v>9784431545583</v>
      </c>
      <c r="D1934" t="str">
        <f>"9784431545590"</f>
        <v>9784431545590</v>
      </c>
      <c r="E1934" t="s">
        <v>1401</v>
      </c>
      <c r="F1934" s="1">
        <v>41708</v>
      </c>
    </row>
    <row r="1935" spans="1:6" x14ac:dyDescent="0.25">
      <c r="A1935">
        <v>6422838</v>
      </c>
      <c r="B1935" t="s">
        <v>1975</v>
      </c>
      <c r="C1935" t="str">
        <f>"9783319407296"</f>
        <v>9783319407296</v>
      </c>
      <c r="D1935" t="str">
        <f>"9783319407302"</f>
        <v>9783319407302</v>
      </c>
      <c r="E1935" t="s">
        <v>756</v>
      </c>
      <c r="F1935" s="1">
        <v>42557</v>
      </c>
    </row>
    <row r="1936" spans="1:6" x14ac:dyDescent="0.25">
      <c r="A1936">
        <v>6422840</v>
      </c>
      <c r="B1936" t="s">
        <v>1976</v>
      </c>
      <c r="C1936" t="str">
        <f>"9783662503966"</f>
        <v>9783662503966</v>
      </c>
      <c r="D1936" t="str">
        <f>"9783662503973"</f>
        <v>9783662503973</v>
      </c>
      <c r="E1936" t="s">
        <v>1416</v>
      </c>
      <c r="F1936" s="1">
        <v>42648</v>
      </c>
    </row>
    <row r="1937" spans="1:6" x14ac:dyDescent="0.25">
      <c r="A1937">
        <v>6422841</v>
      </c>
      <c r="B1937" t="s">
        <v>1977</v>
      </c>
      <c r="C1937" t="str">
        <f>"9784431543053"</f>
        <v>9784431543053</v>
      </c>
      <c r="D1937" t="str">
        <f>"9784431543060"</f>
        <v>9784431543060</v>
      </c>
      <c r="E1937" t="s">
        <v>1401</v>
      </c>
      <c r="F1937" s="1">
        <v>41353</v>
      </c>
    </row>
    <row r="1938" spans="1:6" x14ac:dyDescent="0.25">
      <c r="A1938">
        <v>6422842</v>
      </c>
      <c r="B1938" t="s">
        <v>1978</v>
      </c>
      <c r="C1938" t="str">
        <f>"9783030043629"</f>
        <v>9783030043629</v>
      </c>
      <c r="D1938" t="str">
        <f>"9783030043636"</f>
        <v>9783030043636</v>
      </c>
      <c r="E1938" t="s">
        <v>756</v>
      </c>
      <c r="F1938" s="1">
        <v>43508</v>
      </c>
    </row>
    <row r="1939" spans="1:6" x14ac:dyDescent="0.25">
      <c r="A1939">
        <v>6422843</v>
      </c>
      <c r="B1939" t="s">
        <v>1979</v>
      </c>
      <c r="C1939" t="str">
        <f>"9783658284749"</f>
        <v>9783658284749</v>
      </c>
      <c r="D1939" t="str">
        <f>"9783658284756"</f>
        <v>9783658284756</v>
      </c>
      <c r="E1939" t="s">
        <v>1391</v>
      </c>
      <c r="F1939" s="1">
        <v>43787</v>
      </c>
    </row>
    <row r="1940" spans="1:6" x14ac:dyDescent="0.25">
      <c r="A1940">
        <v>6422844</v>
      </c>
      <c r="B1940" t="s">
        <v>1980</v>
      </c>
      <c r="C1940" t="str">
        <f>"9783319653518"</f>
        <v>9783319653518</v>
      </c>
      <c r="D1940" t="str">
        <f>"9783319653525"</f>
        <v>9783319653525</v>
      </c>
      <c r="E1940" t="s">
        <v>756</v>
      </c>
      <c r="F1940" s="1">
        <v>43012</v>
      </c>
    </row>
    <row r="1941" spans="1:6" x14ac:dyDescent="0.25">
      <c r="A1941">
        <v>6422845</v>
      </c>
      <c r="B1941" t="s">
        <v>1981</v>
      </c>
      <c r="C1941" t="str">
        <f>"9783658226435"</f>
        <v>9783658226435</v>
      </c>
      <c r="D1941" t="str">
        <f>"9783658226442"</f>
        <v>9783658226442</v>
      </c>
      <c r="E1941" t="s">
        <v>1391</v>
      </c>
      <c r="F1941" s="1">
        <v>43279</v>
      </c>
    </row>
    <row r="1942" spans="1:6" x14ac:dyDescent="0.25">
      <c r="A1942">
        <v>6422846</v>
      </c>
      <c r="B1942" t="s">
        <v>1982</v>
      </c>
      <c r="C1942" t="str">
        <f>"9783319142210"</f>
        <v>9783319142210</v>
      </c>
      <c r="D1942" t="str">
        <f>"9783319142227"</f>
        <v>9783319142227</v>
      </c>
      <c r="E1942" t="s">
        <v>756</v>
      </c>
      <c r="F1942" s="1">
        <v>42108</v>
      </c>
    </row>
    <row r="1943" spans="1:6" x14ac:dyDescent="0.25">
      <c r="A1943">
        <v>6422847</v>
      </c>
      <c r="B1943" t="s">
        <v>1983</v>
      </c>
      <c r="C1943" t="str">
        <f>"9783319450223"</f>
        <v>9783319450223</v>
      </c>
      <c r="D1943" t="str">
        <f>"9783319450230"</f>
        <v>9783319450230</v>
      </c>
      <c r="E1943" t="s">
        <v>756</v>
      </c>
      <c r="F1943" s="1">
        <v>42748</v>
      </c>
    </row>
    <row r="1944" spans="1:6" x14ac:dyDescent="0.25">
      <c r="A1944">
        <v>6422848</v>
      </c>
      <c r="B1944" t="s">
        <v>1858</v>
      </c>
      <c r="C1944" t="str">
        <f>"9781484214565"</f>
        <v>9781484214565</v>
      </c>
      <c r="D1944" t="str">
        <f>"9781484214558"</f>
        <v>9781484214558</v>
      </c>
      <c r="E1944" t="s">
        <v>1604</v>
      </c>
      <c r="F1944" s="1">
        <v>42593</v>
      </c>
    </row>
    <row r="1945" spans="1:6" x14ac:dyDescent="0.25">
      <c r="A1945">
        <v>6422850</v>
      </c>
      <c r="B1945" t="s">
        <v>1984</v>
      </c>
      <c r="C1945" t="str">
        <f>"9783319483658"</f>
        <v>9783319483658</v>
      </c>
      <c r="D1945" t="str">
        <f>"9783319483665"</f>
        <v>9783319483665</v>
      </c>
      <c r="E1945" t="s">
        <v>756</v>
      </c>
      <c r="F1945" s="1">
        <v>42835</v>
      </c>
    </row>
    <row r="1946" spans="1:6" x14ac:dyDescent="0.25">
      <c r="A1946">
        <v>6422851</v>
      </c>
      <c r="B1946" t="s">
        <v>1985</v>
      </c>
      <c r="C1946" t="str">
        <f>"9783319303291"</f>
        <v>9783319303291</v>
      </c>
      <c r="D1946" t="str">
        <f>"9783319303307"</f>
        <v>9783319303307</v>
      </c>
      <c r="E1946" t="s">
        <v>756</v>
      </c>
      <c r="F1946" s="1">
        <v>42471</v>
      </c>
    </row>
    <row r="1947" spans="1:6" x14ac:dyDescent="0.25">
      <c r="A1947">
        <v>6422852</v>
      </c>
      <c r="B1947" t="s">
        <v>1986</v>
      </c>
      <c r="C1947" t="str">
        <f>"9783319560670"</f>
        <v>9783319560670</v>
      </c>
      <c r="D1947" t="str">
        <f>"9783319560687"</f>
        <v>9783319560687</v>
      </c>
      <c r="E1947" t="s">
        <v>756</v>
      </c>
      <c r="F1947" s="1">
        <v>43049</v>
      </c>
    </row>
    <row r="1948" spans="1:6" x14ac:dyDescent="0.25">
      <c r="A1948">
        <v>6422853</v>
      </c>
      <c r="B1948" t="s">
        <v>1987</v>
      </c>
      <c r="C1948" t="str">
        <f>"9783642369032"</f>
        <v>9783642369032</v>
      </c>
      <c r="D1948" t="str">
        <f>"9783642369049"</f>
        <v>9783642369049</v>
      </c>
      <c r="E1948" t="s">
        <v>1416</v>
      </c>
      <c r="F1948" s="1">
        <v>41499</v>
      </c>
    </row>
    <row r="1949" spans="1:6" x14ac:dyDescent="0.25">
      <c r="A1949">
        <v>6422854</v>
      </c>
      <c r="B1949" t="s">
        <v>1988</v>
      </c>
      <c r="C1949" t="str">
        <f>"9783030520168"</f>
        <v>9783030520168</v>
      </c>
      <c r="D1949" t="str">
        <f>"9783030520175"</f>
        <v>9783030520175</v>
      </c>
      <c r="E1949" t="s">
        <v>756</v>
      </c>
      <c r="F1949" s="1">
        <v>44175</v>
      </c>
    </row>
    <row r="1950" spans="1:6" x14ac:dyDescent="0.25">
      <c r="A1950">
        <v>6422855</v>
      </c>
      <c r="B1950" t="s">
        <v>1989</v>
      </c>
      <c r="C1950" t="str">
        <f>"9784431558200"</f>
        <v>9784431558200</v>
      </c>
      <c r="D1950" t="str">
        <f>"9784431558224"</f>
        <v>9784431558224</v>
      </c>
      <c r="E1950" t="s">
        <v>1401</v>
      </c>
      <c r="F1950" s="1">
        <v>42398</v>
      </c>
    </row>
    <row r="1951" spans="1:6" x14ac:dyDescent="0.25">
      <c r="A1951">
        <v>6422856</v>
      </c>
      <c r="B1951" t="s">
        <v>1990</v>
      </c>
      <c r="C1951" t="str">
        <f>"9783319269399"</f>
        <v>9783319269399</v>
      </c>
      <c r="D1951" t="str">
        <f>"9783319269405"</f>
        <v>9783319269405</v>
      </c>
      <c r="E1951" t="s">
        <v>756</v>
      </c>
      <c r="F1951" s="1">
        <v>42473</v>
      </c>
    </row>
    <row r="1952" spans="1:6" x14ac:dyDescent="0.25">
      <c r="A1952">
        <v>6422857</v>
      </c>
      <c r="B1952" t="s">
        <v>1991</v>
      </c>
      <c r="C1952" t="str">
        <f>"9783319699288"</f>
        <v>9783319699288</v>
      </c>
      <c r="D1952" t="str">
        <f>"9783319699295"</f>
        <v>9783319699295</v>
      </c>
      <c r="E1952" t="s">
        <v>756</v>
      </c>
      <c r="F1952" s="1">
        <v>43150</v>
      </c>
    </row>
    <row r="1953" spans="1:6" x14ac:dyDescent="0.25">
      <c r="A1953">
        <v>6422859</v>
      </c>
      <c r="B1953" t="s">
        <v>1992</v>
      </c>
      <c r="C1953" t="str">
        <f>"9783319433486"</f>
        <v>9783319433486</v>
      </c>
      <c r="D1953" t="str">
        <f>"9783319433509"</f>
        <v>9783319433509</v>
      </c>
      <c r="E1953" t="s">
        <v>756</v>
      </c>
      <c r="F1953" s="1">
        <v>42676</v>
      </c>
    </row>
    <row r="1954" spans="1:6" x14ac:dyDescent="0.25">
      <c r="A1954">
        <v>6422860</v>
      </c>
      <c r="B1954" t="s">
        <v>1993</v>
      </c>
      <c r="C1954" t="str">
        <f>"9783319697895"</f>
        <v>9783319697895</v>
      </c>
      <c r="D1954" t="str">
        <f>"9783319697901"</f>
        <v>9783319697901</v>
      </c>
      <c r="E1954" t="s">
        <v>756</v>
      </c>
      <c r="F1954" s="1">
        <v>43112</v>
      </c>
    </row>
    <row r="1955" spans="1:6" x14ac:dyDescent="0.25">
      <c r="A1955">
        <v>6422861</v>
      </c>
      <c r="B1955" t="s">
        <v>1994</v>
      </c>
      <c r="C1955" t="str">
        <f>"9783319285207"</f>
        <v>9783319285207</v>
      </c>
      <c r="D1955" t="str">
        <f>"9783319285214"</f>
        <v>9783319285214</v>
      </c>
      <c r="E1955" t="s">
        <v>756</v>
      </c>
      <c r="F1955" s="1">
        <v>42500</v>
      </c>
    </row>
    <row r="1956" spans="1:6" x14ac:dyDescent="0.25">
      <c r="A1956">
        <v>6422862</v>
      </c>
      <c r="B1956" t="s">
        <v>1995</v>
      </c>
      <c r="C1956" t="str">
        <f>"9783319656328"</f>
        <v>9783319656328</v>
      </c>
      <c r="D1956" t="str">
        <f>"9783319656335"</f>
        <v>9783319656335</v>
      </c>
      <c r="E1956" t="s">
        <v>756</v>
      </c>
      <c r="F1956" s="1">
        <v>43131</v>
      </c>
    </row>
    <row r="1957" spans="1:6" x14ac:dyDescent="0.25">
      <c r="A1957">
        <v>6422863</v>
      </c>
      <c r="B1957" t="s">
        <v>1996</v>
      </c>
      <c r="C1957" t="str">
        <f>"9783319628691"</f>
        <v>9783319628691</v>
      </c>
      <c r="D1957" t="str">
        <f>"9783319628707"</f>
        <v>9783319628707</v>
      </c>
      <c r="E1957" t="s">
        <v>756</v>
      </c>
      <c r="F1957" s="1">
        <v>43074</v>
      </c>
    </row>
    <row r="1958" spans="1:6" x14ac:dyDescent="0.25">
      <c r="A1958">
        <v>6422864</v>
      </c>
      <c r="B1958" t="s">
        <v>1997</v>
      </c>
      <c r="C1958" t="str">
        <f>"9783319301198"</f>
        <v>9783319301198</v>
      </c>
      <c r="D1958" t="str">
        <f>"9783319301204"</f>
        <v>9783319301204</v>
      </c>
      <c r="E1958" t="s">
        <v>756</v>
      </c>
      <c r="F1958" s="1">
        <v>42473</v>
      </c>
    </row>
    <row r="1959" spans="1:6" x14ac:dyDescent="0.25">
      <c r="A1959">
        <v>6422866</v>
      </c>
      <c r="B1959" t="s">
        <v>1998</v>
      </c>
      <c r="C1959" t="str">
        <f>"9783319096643"</f>
        <v>9783319096643</v>
      </c>
      <c r="D1959" t="str">
        <f>"9783319096650"</f>
        <v>9783319096650</v>
      </c>
      <c r="E1959" t="s">
        <v>756</v>
      </c>
      <c r="F1959" s="1">
        <v>42017</v>
      </c>
    </row>
    <row r="1960" spans="1:6" x14ac:dyDescent="0.25">
      <c r="A1960">
        <v>6422869</v>
      </c>
      <c r="B1960" t="s">
        <v>1999</v>
      </c>
      <c r="C1960" t="str">
        <f>"9783319456195"</f>
        <v>9783319456195</v>
      </c>
      <c r="D1960" t="str">
        <f>"9783319456201"</f>
        <v>9783319456201</v>
      </c>
      <c r="E1960" t="s">
        <v>756</v>
      </c>
      <c r="F1960" s="1">
        <v>42676</v>
      </c>
    </row>
    <row r="1961" spans="1:6" x14ac:dyDescent="0.25">
      <c r="A1961">
        <v>6422870</v>
      </c>
      <c r="B1961" t="s">
        <v>2000</v>
      </c>
      <c r="C1961" t="str">
        <f>"9789811008856"</f>
        <v>9789811008856</v>
      </c>
      <c r="D1961" t="str">
        <f>"9789811008863"</f>
        <v>9789811008863</v>
      </c>
      <c r="E1961" t="s">
        <v>1177</v>
      </c>
      <c r="F1961" s="1">
        <v>42572</v>
      </c>
    </row>
    <row r="1962" spans="1:6" x14ac:dyDescent="0.25">
      <c r="A1962">
        <v>6422872</v>
      </c>
      <c r="B1962" t="s">
        <v>2001</v>
      </c>
      <c r="C1962" t="str">
        <f>"9783658061944"</f>
        <v>9783658061944</v>
      </c>
      <c r="D1962" t="str">
        <f>"9783658064303"</f>
        <v>9783658064303</v>
      </c>
      <c r="E1962" t="s">
        <v>1391</v>
      </c>
      <c r="F1962" s="1">
        <v>41904</v>
      </c>
    </row>
    <row r="1963" spans="1:6" x14ac:dyDescent="0.25">
      <c r="A1963">
        <v>6422875</v>
      </c>
      <c r="B1963" t="s">
        <v>2002</v>
      </c>
      <c r="C1963" t="str">
        <f>"9783319205908"</f>
        <v>9783319205908</v>
      </c>
      <c r="D1963" t="str">
        <f>"9783319205915"</f>
        <v>9783319205915</v>
      </c>
      <c r="E1963" t="s">
        <v>756</v>
      </c>
      <c r="F1963" s="1">
        <v>42290</v>
      </c>
    </row>
    <row r="1964" spans="1:6" x14ac:dyDescent="0.25">
      <c r="A1964">
        <v>6422876</v>
      </c>
      <c r="B1964" t="s">
        <v>2003</v>
      </c>
      <c r="C1964" t="str">
        <f>"9783319152776"</f>
        <v>9783319152776</v>
      </c>
      <c r="D1964" t="str">
        <f>"9783319152783"</f>
        <v>9783319152783</v>
      </c>
      <c r="E1964" t="s">
        <v>756</v>
      </c>
      <c r="F1964" s="1">
        <v>42180</v>
      </c>
    </row>
    <row r="1965" spans="1:6" x14ac:dyDescent="0.25">
      <c r="A1965">
        <v>6422877</v>
      </c>
      <c r="B1965" t="s">
        <v>2004</v>
      </c>
      <c r="C1965" t="str">
        <f>"9783319697710"</f>
        <v>9783319697710</v>
      </c>
      <c r="D1965" t="str">
        <f>"9783319697727"</f>
        <v>9783319697727</v>
      </c>
      <c r="E1965" t="s">
        <v>756</v>
      </c>
      <c r="F1965" s="1">
        <v>43131</v>
      </c>
    </row>
    <row r="1966" spans="1:6" x14ac:dyDescent="0.25">
      <c r="A1966">
        <v>6422878</v>
      </c>
      <c r="B1966" t="s">
        <v>2005</v>
      </c>
      <c r="C1966" t="str">
        <f>"9783662459140"</f>
        <v>9783662459140</v>
      </c>
      <c r="D1966" t="str">
        <f>"9783662459157"</f>
        <v>9783662459157</v>
      </c>
      <c r="E1966" t="s">
        <v>1416</v>
      </c>
      <c r="F1966" s="1">
        <v>41995</v>
      </c>
    </row>
    <row r="1967" spans="1:6" x14ac:dyDescent="0.25">
      <c r="A1967">
        <v>6422879</v>
      </c>
      <c r="B1967" t="s">
        <v>2006</v>
      </c>
      <c r="C1967" t="str">
        <f>"9789811075476"</f>
        <v>9789811075476</v>
      </c>
      <c r="D1967" t="str">
        <f>"9789811075483"</f>
        <v>9789811075483</v>
      </c>
      <c r="E1967" t="s">
        <v>1177</v>
      </c>
      <c r="F1967" s="1">
        <v>43143</v>
      </c>
    </row>
    <row r="1968" spans="1:6" x14ac:dyDescent="0.25">
      <c r="A1968">
        <v>6422880</v>
      </c>
      <c r="B1968" t="s">
        <v>2007</v>
      </c>
      <c r="C1968" t="str">
        <f>"9783662586556"</f>
        <v>9783662586556</v>
      </c>
      <c r="D1968" t="str">
        <f>"9783662586563"</f>
        <v>9783662586563</v>
      </c>
      <c r="E1968" t="s">
        <v>1416</v>
      </c>
      <c r="F1968" s="1">
        <v>43767</v>
      </c>
    </row>
    <row r="1969" spans="1:6" x14ac:dyDescent="0.25">
      <c r="A1969">
        <v>6422881</v>
      </c>
      <c r="B1969" t="s">
        <v>2008</v>
      </c>
      <c r="C1969" t="str">
        <f>"9783319654324"</f>
        <v>9783319654324</v>
      </c>
      <c r="D1969" t="str">
        <f>"9783319654331"</f>
        <v>9783319654331</v>
      </c>
      <c r="E1969" t="s">
        <v>756</v>
      </c>
      <c r="F1969" s="1">
        <v>43031</v>
      </c>
    </row>
    <row r="1970" spans="1:6" x14ac:dyDescent="0.25">
      <c r="A1970">
        <v>6422882</v>
      </c>
      <c r="B1970" t="s">
        <v>2009</v>
      </c>
      <c r="C1970" t="str">
        <f>"9783662604861"</f>
        <v>9783662604861</v>
      </c>
      <c r="D1970" t="str">
        <f>"9783662604878"</f>
        <v>9783662604878</v>
      </c>
      <c r="E1970" t="s">
        <v>1416</v>
      </c>
      <c r="F1970" s="1">
        <v>43910</v>
      </c>
    </row>
    <row r="1971" spans="1:6" x14ac:dyDescent="0.25">
      <c r="A1971">
        <v>6422883</v>
      </c>
      <c r="B1971" t="s">
        <v>2010</v>
      </c>
      <c r="C1971" t="str">
        <f>"9783319954196"</f>
        <v>9783319954196</v>
      </c>
      <c r="D1971" t="str">
        <f>"9783319954202"</f>
        <v>9783319954202</v>
      </c>
      <c r="E1971" t="s">
        <v>756</v>
      </c>
      <c r="F1971" s="1">
        <v>43402</v>
      </c>
    </row>
    <row r="1972" spans="1:6" x14ac:dyDescent="0.25">
      <c r="A1972">
        <v>6422884</v>
      </c>
      <c r="B1972" t="s">
        <v>2011</v>
      </c>
      <c r="C1972" t="str">
        <f>"9781137506795"</f>
        <v>9781137506795</v>
      </c>
      <c r="D1972" t="str">
        <f>"9781137506801"</f>
        <v>9781137506801</v>
      </c>
      <c r="E1972" t="s">
        <v>1465</v>
      </c>
      <c r="F1972" s="1">
        <v>42251</v>
      </c>
    </row>
    <row r="1973" spans="1:6" x14ac:dyDescent="0.25">
      <c r="A1973">
        <v>6422885</v>
      </c>
      <c r="B1973" t="s">
        <v>2012</v>
      </c>
      <c r="C1973" t="str">
        <f>"9783662602959"</f>
        <v>9783662602959</v>
      </c>
      <c r="D1973" t="str">
        <f>"9783662602966"</f>
        <v>9783662602966</v>
      </c>
      <c r="E1973" t="s">
        <v>1416</v>
      </c>
      <c r="F1973" s="1">
        <v>43860</v>
      </c>
    </row>
    <row r="1974" spans="1:6" x14ac:dyDescent="0.25">
      <c r="A1974">
        <v>6422886</v>
      </c>
      <c r="B1974" t="s">
        <v>2013</v>
      </c>
      <c r="C1974" t="str">
        <f>"9783319535005"</f>
        <v>9783319535005</v>
      </c>
      <c r="D1974" t="str">
        <f>"9783319594699"</f>
        <v>9783319594699</v>
      </c>
      <c r="E1974" t="s">
        <v>756</v>
      </c>
      <c r="F1974" s="1">
        <v>42872</v>
      </c>
    </row>
    <row r="1975" spans="1:6" x14ac:dyDescent="0.25">
      <c r="A1975">
        <v>6422887</v>
      </c>
      <c r="B1975" t="s">
        <v>2014</v>
      </c>
      <c r="C1975" t="str">
        <f>"9783662528532"</f>
        <v>9783662528532</v>
      </c>
      <c r="D1975" t="str">
        <f>"9783662528549"</f>
        <v>9783662528549</v>
      </c>
      <c r="E1975" t="s">
        <v>1416</v>
      </c>
      <c r="F1975" s="1">
        <v>42650</v>
      </c>
    </row>
    <row r="1976" spans="1:6" x14ac:dyDescent="0.25">
      <c r="A1976">
        <v>6422889</v>
      </c>
      <c r="B1976" t="s">
        <v>2015</v>
      </c>
      <c r="C1976" t="str">
        <f>"9783658291662"</f>
        <v>9783658291662</v>
      </c>
      <c r="D1976" t="str">
        <f>"9783658291679"</f>
        <v>9783658291679</v>
      </c>
      <c r="E1976" t="s">
        <v>1391</v>
      </c>
      <c r="F1976" s="1">
        <v>43860</v>
      </c>
    </row>
    <row r="1977" spans="1:6" x14ac:dyDescent="0.25">
      <c r="A1977">
        <v>6422890</v>
      </c>
      <c r="B1977" t="s">
        <v>2016</v>
      </c>
      <c r="C1977" t="str">
        <f>"9789811049552"</f>
        <v>9789811049552</v>
      </c>
      <c r="D1977" t="str">
        <f>"9789811049569"</f>
        <v>9789811049569</v>
      </c>
      <c r="E1977" t="s">
        <v>1177</v>
      </c>
      <c r="F1977" s="1">
        <v>42992</v>
      </c>
    </row>
    <row r="1978" spans="1:6" x14ac:dyDescent="0.25">
      <c r="A1978">
        <v>6422891</v>
      </c>
      <c r="B1978" t="s">
        <v>2017</v>
      </c>
      <c r="C1978" t="str">
        <f>"9783662492635"</f>
        <v>9783662492635</v>
      </c>
      <c r="D1978" t="str">
        <f>"9783662492642"</f>
        <v>9783662492642</v>
      </c>
      <c r="E1978" t="s">
        <v>1416</v>
      </c>
      <c r="F1978" s="1">
        <v>42429</v>
      </c>
    </row>
    <row r="1979" spans="1:6" x14ac:dyDescent="0.25">
      <c r="A1979">
        <v>6422893</v>
      </c>
      <c r="B1979" t="s">
        <v>2018</v>
      </c>
      <c r="C1979" t="str">
        <f>"9783319234243"</f>
        <v>9783319234243</v>
      </c>
      <c r="D1979" t="str">
        <f>"9783319234250"</f>
        <v>9783319234250</v>
      </c>
      <c r="E1979" t="s">
        <v>756</v>
      </c>
      <c r="F1979" s="1">
        <v>42318</v>
      </c>
    </row>
    <row r="1980" spans="1:6" x14ac:dyDescent="0.25">
      <c r="A1980">
        <v>6422895</v>
      </c>
      <c r="B1980" t="s">
        <v>2019</v>
      </c>
      <c r="C1980" t="str">
        <f>"9789400770607"</f>
        <v>9789400770607</v>
      </c>
      <c r="D1980" t="str">
        <f>"9789400770614"</f>
        <v>9789400770614</v>
      </c>
      <c r="E1980" t="s">
        <v>1458</v>
      </c>
      <c r="F1980" s="1">
        <v>41515</v>
      </c>
    </row>
    <row r="1981" spans="1:6" x14ac:dyDescent="0.25">
      <c r="A1981">
        <v>6422896</v>
      </c>
      <c r="B1981" t="s">
        <v>2020</v>
      </c>
      <c r="C1981" t="str">
        <f>"9789811040528"</f>
        <v>9789811040528</v>
      </c>
      <c r="D1981" t="str">
        <f>"9789811040535"</f>
        <v>9789811040535</v>
      </c>
      <c r="E1981" t="s">
        <v>1177</v>
      </c>
      <c r="F1981" s="1">
        <v>43090</v>
      </c>
    </row>
    <row r="1982" spans="1:6" x14ac:dyDescent="0.25">
      <c r="A1982">
        <v>6422897</v>
      </c>
      <c r="B1982" t="s">
        <v>2021</v>
      </c>
      <c r="C1982" t="str">
        <f>"9783030456221"</f>
        <v>9783030456221</v>
      </c>
      <c r="D1982" t="str">
        <f>"9783030456238"</f>
        <v>9783030456238</v>
      </c>
      <c r="E1982" t="s">
        <v>756</v>
      </c>
      <c r="F1982" s="1">
        <v>44049</v>
      </c>
    </row>
    <row r="1983" spans="1:6" x14ac:dyDescent="0.25">
      <c r="A1983">
        <v>6422898</v>
      </c>
      <c r="B1983" t="s">
        <v>2022</v>
      </c>
      <c r="C1983" t="str">
        <f>"9783030528805"</f>
        <v>9783030528805</v>
      </c>
      <c r="D1983" t="str">
        <f>"9783030528812"</f>
        <v>9783030528812</v>
      </c>
      <c r="E1983" t="s">
        <v>756</v>
      </c>
      <c r="F1983" s="1">
        <v>44173</v>
      </c>
    </row>
    <row r="1984" spans="1:6" x14ac:dyDescent="0.25">
      <c r="A1984">
        <v>6422899</v>
      </c>
      <c r="B1984" t="s">
        <v>2023</v>
      </c>
      <c r="C1984" t="str">
        <f>"9783319916880"</f>
        <v>9783319916880</v>
      </c>
      <c r="D1984" t="str">
        <f>"9783319916897"</f>
        <v>9783319916897</v>
      </c>
      <c r="E1984" t="s">
        <v>756</v>
      </c>
      <c r="F1984" s="1">
        <v>43431</v>
      </c>
    </row>
    <row r="1985" spans="1:6" x14ac:dyDescent="0.25">
      <c r="A1985">
        <v>6422900</v>
      </c>
      <c r="B1985" t="s">
        <v>2024</v>
      </c>
      <c r="C1985" t="str">
        <f>"9783319426105"</f>
        <v>9783319426105</v>
      </c>
      <c r="D1985" t="str">
        <f>"9783319426112"</f>
        <v>9783319426112</v>
      </c>
      <c r="E1985" t="s">
        <v>756</v>
      </c>
      <c r="F1985" s="1">
        <v>42692</v>
      </c>
    </row>
    <row r="1986" spans="1:6" x14ac:dyDescent="0.25">
      <c r="A1986">
        <v>6422901</v>
      </c>
      <c r="B1986" t="s">
        <v>2025</v>
      </c>
      <c r="C1986" t="str">
        <f>"9783319157917"</f>
        <v>9783319157917</v>
      </c>
      <c r="D1986" t="str">
        <f>"9783319161044"</f>
        <v>9783319161044</v>
      </c>
      <c r="E1986" t="s">
        <v>756</v>
      </c>
      <c r="F1986" s="1">
        <v>42143</v>
      </c>
    </row>
    <row r="1987" spans="1:6" x14ac:dyDescent="0.25">
      <c r="A1987">
        <v>6422902</v>
      </c>
      <c r="B1987" t="s">
        <v>2026</v>
      </c>
      <c r="C1987" t="str">
        <f>"9783642208973"</f>
        <v>9783642208973</v>
      </c>
      <c r="D1987" t="str">
        <f>"9783642208980"</f>
        <v>9783642208980</v>
      </c>
      <c r="E1987" t="s">
        <v>1416</v>
      </c>
      <c r="F1987" s="1">
        <v>40673</v>
      </c>
    </row>
    <row r="1988" spans="1:6" x14ac:dyDescent="0.25">
      <c r="A1988">
        <v>6422903</v>
      </c>
      <c r="B1988" t="s">
        <v>2027</v>
      </c>
      <c r="C1988" t="str">
        <f>"9783662553787"</f>
        <v>9783662553787</v>
      </c>
      <c r="D1988" t="str">
        <f>"9783662553794"</f>
        <v>9783662553794</v>
      </c>
      <c r="E1988" t="s">
        <v>1416</v>
      </c>
      <c r="F1988" s="1">
        <v>43041</v>
      </c>
    </row>
    <row r="1989" spans="1:6" x14ac:dyDescent="0.25">
      <c r="A1989">
        <v>6422904</v>
      </c>
      <c r="B1989" t="s">
        <v>2028</v>
      </c>
      <c r="C1989" t="str">
        <f>"9783662594056"</f>
        <v>9783662594056</v>
      </c>
      <c r="D1989" t="str">
        <f>"9783662594063"</f>
        <v>9783662594063</v>
      </c>
      <c r="E1989" t="s">
        <v>1416</v>
      </c>
      <c r="F1989" s="1">
        <v>43811</v>
      </c>
    </row>
    <row r="1990" spans="1:6" x14ac:dyDescent="0.25">
      <c r="A1990">
        <v>6422905</v>
      </c>
      <c r="B1990" t="s">
        <v>2029</v>
      </c>
      <c r="C1990" t="str">
        <f>"9781430268390"</f>
        <v>9781430268390</v>
      </c>
      <c r="D1990" t="str">
        <f>"9781430268383"</f>
        <v>9781430268383</v>
      </c>
      <c r="E1990" t="s">
        <v>1604</v>
      </c>
      <c r="F1990" s="1">
        <v>42000</v>
      </c>
    </row>
    <row r="1991" spans="1:6" x14ac:dyDescent="0.25">
      <c r="A1991">
        <v>6422906</v>
      </c>
      <c r="B1991" t="s">
        <v>2030</v>
      </c>
      <c r="C1991" t="str">
        <f>"9783658316860"</f>
        <v>9783658316860</v>
      </c>
      <c r="D1991" t="str">
        <f>"9783658316877"</f>
        <v>9783658316877</v>
      </c>
      <c r="E1991" t="s">
        <v>1391</v>
      </c>
      <c r="F1991" s="1">
        <v>44201</v>
      </c>
    </row>
    <row r="1992" spans="1:6" x14ac:dyDescent="0.25">
      <c r="A1992">
        <v>6422907</v>
      </c>
      <c r="B1992" t="s">
        <v>2031</v>
      </c>
      <c r="C1992" t="str">
        <f>"9783319511023"</f>
        <v>9783319511023</v>
      </c>
      <c r="D1992" t="str">
        <f>"9783319511030"</f>
        <v>9783319511030</v>
      </c>
      <c r="E1992" t="s">
        <v>756</v>
      </c>
      <c r="F1992" s="1">
        <v>42796</v>
      </c>
    </row>
    <row r="1993" spans="1:6" x14ac:dyDescent="0.25">
      <c r="A1993">
        <v>6422908</v>
      </c>
      <c r="B1993" t="s">
        <v>2032</v>
      </c>
      <c r="C1993" t="str">
        <f>"9783319238463"</f>
        <v>9783319238463</v>
      </c>
      <c r="D1993" t="str">
        <f>"9783319238470"</f>
        <v>9783319238470</v>
      </c>
      <c r="E1993" t="s">
        <v>756</v>
      </c>
      <c r="F1993" s="1">
        <v>42480</v>
      </c>
    </row>
    <row r="1994" spans="1:6" x14ac:dyDescent="0.25">
      <c r="A1994">
        <v>6422909</v>
      </c>
      <c r="B1994" t="s">
        <v>2033</v>
      </c>
      <c r="C1994" t="str">
        <f>"9783319586489"</f>
        <v>9783319586489</v>
      </c>
      <c r="D1994" t="str">
        <f>"9783319586502"</f>
        <v>9783319586502</v>
      </c>
      <c r="E1994" t="s">
        <v>756</v>
      </c>
      <c r="F1994" s="1">
        <v>43025</v>
      </c>
    </row>
    <row r="1995" spans="1:6" x14ac:dyDescent="0.25">
      <c r="A1995">
        <v>6422910</v>
      </c>
      <c r="B1995" t="s">
        <v>2034</v>
      </c>
      <c r="C1995" t="str">
        <f>"9783319296692"</f>
        <v>9783319296692</v>
      </c>
      <c r="D1995" t="str">
        <f>"9783319296715"</f>
        <v>9783319296715</v>
      </c>
      <c r="E1995" t="s">
        <v>756</v>
      </c>
      <c r="F1995" s="1">
        <v>42513</v>
      </c>
    </row>
    <row r="1996" spans="1:6" x14ac:dyDescent="0.25">
      <c r="A1996">
        <v>6422911</v>
      </c>
      <c r="B1996" t="s">
        <v>2035</v>
      </c>
      <c r="C1996" t="str">
        <f>"9783319692982"</f>
        <v>9783319692982</v>
      </c>
      <c r="D1996" t="str">
        <f>"9783319692999"</f>
        <v>9783319692999</v>
      </c>
      <c r="E1996" t="s">
        <v>756</v>
      </c>
      <c r="F1996" s="1">
        <v>43124</v>
      </c>
    </row>
    <row r="1997" spans="1:6" x14ac:dyDescent="0.25">
      <c r="A1997">
        <v>6422918</v>
      </c>
      <c r="B1997" t="s">
        <v>2036</v>
      </c>
      <c r="C1997" t="str">
        <f>"9789027207739"</f>
        <v>9789027207739</v>
      </c>
      <c r="D1997" t="str">
        <f>"9789027260598"</f>
        <v>9789027260598</v>
      </c>
      <c r="E1997" t="s">
        <v>413</v>
      </c>
      <c r="F1997" s="1">
        <v>44175</v>
      </c>
    </row>
    <row r="1998" spans="1:6" x14ac:dyDescent="0.25">
      <c r="A1998">
        <v>6423981</v>
      </c>
      <c r="B1998" t="s">
        <v>2037</v>
      </c>
      <c r="C1998" t="str">
        <f>"9783030478513"</f>
        <v>9783030478513</v>
      </c>
      <c r="D1998" t="str">
        <f>"9783030478520"</f>
        <v>9783030478520</v>
      </c>
      <c r="E1998" t="s">
        <v>756</v>
      </c>
      <c r="F1998" s="1">
        <v>44177</v>
      </c>
    </row>
    <row r="1999" spans="1:6" x14ac:dyDescent="0.25">
      <c r="A1999">
        <v>6424372</v>
      </c>
      <c r="B1999" t="s">
        <v>2038</v>
      </c>
      <c r="C1999" t="str">
        <f>""</f>
        <v/>
      </c>
      <c r="D1999" t="str">
        <f>"9789048551064"</f>
        <v>9789048551064</v>
      </c>
      <c r="E1999" t="s">
        <v>59</v>
      </c>
      <c r="F1999" s="1">
        <v>44188</v>
      </c>
    </row>
    <row r="2000" spans="1:6" x14ac:dyDescent="0.25">
      <c r="A2000">
        <v>6425455</v>
      </c>
      <c r="B2000" t="s">
        <v>2039</v>
      </c>
      <c r="C2000" t="str">
        <f>"9783030536138"</f>
        <v>9783030536138</v>
      </c>
      <c r="D2000" t="str">
        <f>"9783030536145"</f>
        <v>9783030536145</v>
      </c>
      <c r="E2000" t="s">
        <v>756</v>
      </c>
      <c r="F2000" s="1">
        <v>44181</v>
      </c>
    </row>
    <row r="2001" spans="1:6" x14ac:dyDescent="0.25">
      <c r="A2001">
        <v>6425456</v>
      </c>
      <c r="B2001" t="s">
        <v>2040</v>
      </c>
      <c r="C2001" t="str">
        <f>"9783030549589"</f>
        <v>9783030549589</v>
      </c>
      <c r="D2001" t="str">
        <f>"9783030549596"</f>
        <v>9783030549596</v>
      </c>
      <c r="E2001" t="s">
        <v>756</v>
      </c>
      <c r="F2001" s="1">
        <v>44180</v>
      </c>
    </row>
    <row r="2002" spans="1:6" x14ac:dyDescent="0.25">
      <c r="A2002">
        <v>6425457</v>
      </c>
      <c r="B2002" t="s">
        <v>2041</v>
      </c>
      <c r="C2002" t="str">
        <f>"9783030603953"</f>
        <v>9783030603953</v>
      </c>
      <c r="D2002" t="str">
        <f>"9783030603960"</f>
        <v>9783030603960</v>
      </c>
      <c r="E2002" t="s">
        <v>756</v>
      </c>
      <c r="F2002" s="1">
        <v>44180</v>
      </c>
    </row>
    <row r="2003" spans="1:6" x14ac:dyDescent="0.25">
      <c r="A2003">
        <v>6425458</v>
      </c>
      <c r="B2003" t="s">
        <v>2042</v>
      </c>
      <c r="C2003" t="str">
        <f>"9783030640217"</f>
        <v>9783030640217</v>
      </c>
      <c r="D2003" t="str">
        <f>"9783030640224"</f>
        <v>9783030640224</v>
      </c>
      <c r="E2003" t="s">
        <v>756</v>
      </c>
      <c r="F2003" s="1">
        <v>44181</v>
      </c>
    </row>
    <row r="2004" spans="1:6" x14ac:dyDescent="0.25">
      <c r="A2004">
        <v>6425459</v>
      </c>
      <c r="B2004" t="s">
        <v>2043</v>
      </c>
      <c r="C2004" t="str">
        <f>"9783030482985"</f>
        <v>9783030482985</v>
      </c>
      <c r="D2004" t="str">
        <f>"9783030482992"</f>
        <v>9783030482992</v>
      </c>
      <c r="E2004" t="s">
        <v>756</v>
      </c>
      <c r="F2004" s="1">
        <v>44180</v>
      </c>
    </row>
    <row r="2005" spans="1:6" x14ac:dyDescent="0.25">
      <c r="A2005">
        <v>6425460</v>
      </c>
      <c r="B2005" t="s">
        <v>2044</v>
      </c>
      <c r="C2005" t="str">
        <f>"9783030591960"</f>
        <v>9783030591960</v>
      </c>
      <c r="D2005" t="str">
        <f>"9783030591977"</f>
        <v>9783030591977</v>
      </c>
      <c r="E2005" t="s">
        <v>756</v>
      </c>
      <c r="F2005" s="1">
        <v>44180</v>
      </c>
    </row>
    <row r="2006" spans="1:6" x14ac:dyDescent="0.25">
      <c r="A2006">
        <v>6425461</v>
      </c>
      <c r="B2006" t="s">
        <v>2045</v>
      </c>
      <c r="C2006" t="str">
        <f>"9783030621353"</f>
        <v>9783030621353</v>
      </c>
      <c r="D2006" t="str">
        <f>"9783030621360"</f>
        <v>9783030621360</v>
      </c>
      <c r="E2006" t="s">
        <v>756</v>
      </c>
      <c r="F2006" s="1">
        <v>44180</v>
      </c>
    </row>
    <row r="2007" spans="1:6" x14ac:dyDescent="0.25">
      <c r="A2007">
        <v>6425462</v>
      </c>
      <c r="B2007" t="s">
        <v>2046</v>
      </c>
      <c r="C2007" t="str">
        <f>"9783658319939"</f>
        <v>9783658319939</v>
      </c>
      <c r="D2007" t="str">
        <f>"9783658319946"</f>
        <v>9783658319946</v>
      </c>
      <c r="E2007" t="s">
        <v>1391</v>
      </c>
      <c r="F2007" s="1">
        <v>44181</v>
      </c>
    </row>
    <row r="2008" spans="1:6" x14ac:dyDescent="0.25">
      <c r="A2008">
        <v>6425463</v>
      </c>
      <c r="B2008" t="s">
        <v>2047</v>
      </c>
      <c r="C2008" t="str">
        <f>"9783030631420"</f>
        <v>9783030631420</v>
      </c>
      <c r="D2008" t="str">
        <f>"9783030631437"</f>
        <v>9783030631437</v>
      </c>
      <c r="E2008" t="s">
        <v>756</v>
      </c>
      <c r="F2008" s="1">
        <v>44180</v>
      </c>
    </row>
    <row r="2009" spans="1:6" x14ac:dyDescent="0.25">
      <c r="A2009">
        <v>6425464</v>
      </c>
      <c r="B2009" t="s">
        <v>2048</v>
      </c>
      <c r="C2009" t="str">
        <f>"9783030428549"</f>
        <v>9783030428549</v>
      </c>
      <c r="D2009" t="str">
        <f>"9783030428556"</f>
        <v>9783030428556</v>
      </c>
      <c r="E2009" t="s">
        <v>756</v>
      </c>
      <c r="F2009" s="1">
        <v>44181</v>
      </c>
    </row>
    <row r="2010" spans="1:6" x14ac:dyDescent="0.25">
      <c r="A2010">
        <v>6425652</v>
      </c>
      <c r="B2010" t="s">
        <v>2049</v>
      </c>
      <c r="C2010" t="str">
        <f>"9783030546175"</f>
        <v>9783030546175</v>
      </c>
      <c r="D2010" t="str">
        <f>"9783030546182"</f>
        <v>9783030546182</v>
      </c>
      <c r="E2010" t="s">
        <v>756</v>
      </c>
      <c r="F2010" s="1">
        <v>44180</v>
      </c>
    </row>
    <row r="2011" spans="1:6" x14ac:dyDescent="0.25">
      <c r="A2011">
        <v>6425716</v>
      </c>
      <c r="B2011" t="s">
        <v>2050</v>
      </c>
      <c r="C2011" t="str">
        <f>"9781783748341"</f>
        <v>9781783748341</v>
      </c>
      <c r="D2011" t="str">
        <f>"9781783748358"</f>
        <v>9781783748358</v>
      </c>
      <c r="E2011" t="s">
        <v>580</v>
      </c>
      <c r="F2011" s="1">
        <v>44116</v>
      </c>
    </row>
    <row r="2012" spans="1:6" x14ac:dyDescent="0.25">
      <c r="A2012">
        <v>6425717</v>
      </c>
      <c r="B2012" t="s">
        <v>2051</v>
      </c>
      <c r="C2012" t="str">
        <f>"9781800640849"</f>
        <v>9781800640849</v>
      </c>
      <c r="D2012" t="str">
        <f>"9781800640856"</f>
        <v>9781800640856</v>
      </c>
      <c r="E2012" t="s">
        <v>580</v>
      </c>
      <c r="F2012" s="1">
        <v>44165</v>
      </c>
    </row>
    <row r="2013" spans="1:6" x14ac:dyDescent="0.25">
      <c r="A2013">
        <v>6425718</v>
      </c>
      <c r="B2013" t="s">
        <v>2052</v>
      </c>
      <c r="C2013" t="str">
        <f>"9781800640788"</f>
        <v>9781800640788</v>
      </c>
      <c r="D2013" t="str">
        <f>"9781800640795"</f>
        <v>9781800640795</v>
      </c>
      <c r="E2013" t="s">
        <v>580</v>
      </c>
      <c r="F2013" s="1">
        <v>44165</v>
      </c>
    </row>
    <row r="2014" spans="1:6" x14ac:dyDescent="0.25">
      <c r="A2014">
        <v>6425719</v>
      </c>
      <c r="B2014" t="s">
        <v>2053</v>
      </c>
      <c r="C2014" t="str">
        <f>"9781783749607"</f>
        <v>9781783749607</v>
      </c>
      <c r="D2014" t="str">
        <f>"9781800641259"</f>
        <v>9781800641259</v>
      </c>
      <c r="E2014" t="s">
        <v>580</v>
      </c>
      <c r="F2014" s="1">
        <v>44127</v>
      </c>
    </row>
    <row r="2015" spans="1:6" x14ac:dyDescent="0.25">
      <c r="A2015">
        <v>6425957</v>
      </c>
      <c r="B2015" t="s">
        <v>2054</v>
      </c>
      <c r="C2015" t="str">
        <f>"9783662628119"</f>
        <v>9783662628119</v>
      </c>
      <c r="D2015" t="str">
        <f>"9783662628126"</f>
        <v>9783662628126</v>
      </c>
      <c r="E2015" t="s">
        <v>1852</v>
      </c>
      <c r="F2015" s="1">
        <v>44182</v>
      </c>
    </row>
    <row r="2016" spans="1:6" x14ac:dyDescent="0.25">
      <c r="A2016">
        <v>6426640</v>
      </c>
      <c r="B2016" t="s">
        <v>2055</v>
      </c>
      <c r="C2016" t="str">
        <f>"9789811598326"</f>
        <v>9789811598326</v>
      </c>
      <c r="D2016" t="str">
        <f>"9789811598333"</f>
        <v>9789811598333</v>
      </c>
      <c r="E2016" t="s">
        <v>757</v>
      </c>
      <c r="F2016" s="1">
        <v>44183</v>
      </c>
    </row>
    <row r="2017" spans="1:6" x14ac:dyDescent="0.25">
      <c r="A2017">
        <v>6427619</v>
      </c>
      <c r="B2017" t="s">
        <v>2056</v>
      </c>
      <c r="C2017" t="str">
        <f>""</f>
        <v/>
      </c>
      <c r="D2017" t="str">
        <f>"9789179297121"</f>
        <v>9789179297121</v>
      </c>
      <c r="E2017" t="s">
        <v>1268</v>
      </c>
      <c r="F2017" s="1">
        <v>44181</v>
      </c>
    </row>
    <row r="2018" spans="1:6" x14ac:dyDescent="0.25">
      <c r="A2018">
        <v>6427620</v>
      </c>
      <c r="B2018" t="s">
        <v>2057</v>
      </c>
      <c r="C2018" t="str">
        <f>""</f>
        <v/>
      </c>
      <c r="D2018" t="str">
        <f>"9789179297442"</f>
        <v>9789179297442</v>
      </c>
      <c r="E2018" t="s">
        <v>1268</v>
      </c>
      <c r="F2018" s="1">
        <v>44158</v>
      </c>
    </row>
    <row r="2019" spans="1:6" x14ac:dyDescent="0.25">
      <c r="A2019">
        <v>6427621</v>
      </c>
      <c r="B2019" t="s">
        <v>2058</v>
      </c>
      <c r="C2019" t="str">
        <f>""</f>
        <v/>
      </c>
      <c r="D2019" t="str">
        <f>"9789179297367"</f>
        <v>9789179297367</v>
      </c>
      <c r="E2019" t="s">
        <v>1268</v>
      </c>
      <c r="F2019" s="1">
        <v>44179</v>
      </c>
    </row>
    <row r="2020" spans="1:6" x14ac:dyDescent="0.25">
      <c r="A2020">
        <v>6427622</v>
      </c>
      <c r="B2020" t="s">
        <v>2059</v>
      </c>
      <c r="C2020" t="str">
        <f>""</f>
        <v/>
      </c>
      <c r="D2020" t="str">
        <f>"9789179297282"</f>
        <v>9789179297282</v>
      </c>
      <c r="E2020" t="s">
        <v>1268</v>
      </c>
      <c r="F2020" s="1">
        <v>44181</v>
      </c>
    </row>
    <row r="2021" spans="1:6" x14ac:dyDescent="0.25">
      <c r="A2021">
        <v>6427623</v>
      </c>
      <c r="B2021" t="s">
        <v>2060</v>
      </c>
      <c r="C2021" t="str">
        <f>""</f>
        <v/>
      </c>
      <c r="D2021" t="str">
        <f>"9789179297428"</f>
        <v>9789179297428</v>
      </c>
      <c r="E2021" t="s">
        <v>1268</v>
      </c>
      <c r="F2021" s="1">
        <v>44180</v>
      </c>
    </row>
    <row r="2022" spans="1:6" x14ac:dyDescent="0.25">
      <c r="A2022">
        <v>6427624</v>
      </c>
      <c r="B2022" t="s">
        <v>2061</v>
      </c>
      <c r="C2022" t="str">
        <f>""</f>
        <v/>
      </c>
      <c r="D2022" t="str">
        <f>"9789179298012"</f>
        <v>9789179298012</v>
      </c>
      <c r="E2022" t="s">
        <v>1268</v>
      </c>
      <c r="F2022" s="1">
        <v>44176</v>
      </c>
    </row>
    <row r="2023" spans="1:6" x14ac:dyDescent="0.25">
      <c r="A2023">
        <v>6427625</v>
      </c>
      <c r="B2023" t="s">
        <v>2062</v>
      </c>
      <c r="C2023" t="str">
        <f>""</f>
        <v/>
      </c>
      <c r="D2023" t="str">
        <f>"9789179297169"</f>
        <v>9789179297169</v>
      </c>
      <c r="E2023" t="s">
        <v>1268</v>
      </c>
      <c r="F2023" s="1">
        <v>44182</v>
      </c>
    </row>
    <row r="2024" spans="1:6" x14ac:dyDescent="0.25">
      <c r="A2024">
        <v>6436125</v>
      </c>
      <c r="B2024" t="s">
        <v>2063</v>
      </c>
      <c r="C2024" t="str">
        <f>"9783662627457"</f>
        <v>9783662627457</v>
      </c>
      <c r="D2024" t="str">
        <f>"9783662627464"</f>
        <v>9783662627464</v>
      </c>
      <c r="E2024" t="s">
        <v>1416</v>
      </c>
      <c r="F2024" s="1">
        <v>44189</v>
      </c>
    </row>
    <row r="2025" spans="1:6" x14ac:dyDescent="0.25">
      <c r="A2025">
        <v>6437858</v>
      </c>
      <c r="B2025" t="s">
        <v>2064</v>
      </c>
      <c r="C2025" t="str">
        <f>"9783662622308"</f>
        <v>9783662622308</v>
      </c>
      <c r="D2025" t="str">
        <f>"9783662622315"</f>
        <v>9783662622315</v>
      </c>
      <c r="E2025" t="s">
        <v>1416</v>
      </c>
      <c r="F2025" s="1">
        <v>44190</v>
      </c>
    </row>
    <row r="2026" spans="1:6" x14ac:dyDescent="0.25">
      <c r="A2026">
        <v>6437859</v>
      </c>
      <c r="B2026" t="s">
        <v>2065</v>
      </c>
      <c r="C2026" t="str">
        <f>"9783658324445"</f>
        <v>9783658324445</v>
      </c>
      <c r="D2026" t="str">
        <f>"9783658324452"</f>
        <v>9783658324452</v>
      </c>
      <c r="E2026" t="s">
        <v>1391</v>
      </c>
      <c r="F2026" s="1">
        <v>44223</v>
      </c>
    </row>
    <row r="2027" spans="1:6" x14ac:dyDescent="0.25">
      <c r="A2027">
        <v>6446328</v>
      </c>
      <c r="B2027" t="s">
        <v>2066</v>
      </c>
      <c r="C2027" t="str">
        <f>""</f>
        <v/>
      </c>
      <c r="D2027" t="str">
        <f>"9789179297435"</f>
        <v>9789179297435</v>
      </c>
      <c r="E2027" t="s">
        <v>1268</v>
      </c>
      <c r="F2027" s="1">
        <v>44181</v>
      </c>
    </row>
    <row r="2028" spans="1:6" x14ac:dyDescent="0.25">
      <c r="A2028">
        <v>6446329</v>
      </c>
      <c r="B2028" t="s">
        <v>2067</v>
      </c>
      <c r="C2028" t="str">
        <f>""</f>
        <v/>
      </c>
      <c r="D2028" t="str">
        <f>"9789179297114"</f>
        <v>9789179297114</v>
      </c>
      <c r="E2028" t="s">
        <v>1268</v>
      </c>
      <c r="F2028" s="1">
        <v>44179</v>
      </c>
    </row>
    <row r="2029" spans="1:6" x14ac:dyDescent="0.25">
      <c r="A2029">
        <v>6448939</v>
      </c>
      <c r="B2029" t="s">
        <v>2068</v>
      </c>
      <c r="C2029" t="str">
        <f>"9781478010401"</f>
        <v>9781478010401</v>
      </c>
      <c r="D2029" t="str">
        <f>"9781478012955"</f>
        <v>9781478012955</v>
      </c>
      <c r="E2029" t="s">
        <v>174</v>
      </c>
      <c r="F2029" s="1">
        <v>44232</v>
      </c>
    </row>
    <row r="2030" spans="1:6" x14ac:dyDescent="0.25">
      <c r="A2030">
        <v>6449030</v>
      </c>
      <c r="B2030" t="s">
        <v>2069</v>
      </c>
      <c r="C2030" t="str">
        <f>"9783030635046"</f>
        <v>9783030635046</v>
      </c>
      <c r="D2030" t="str">
        <f>"9783030635053"</f>
        <v>9783030635053</v>
      </c>
      <c r="E2030" t="s">
        <v>756</v>
      </c>
      <c r="F2030" s="1">
        <v>44196</v>
      </c>
    </row>
    <row r="2031" spans="1:6" x14ac:dyDescent="0.25">
      <c r="A2031">
        <v>6449031</v>
      </c>
      <c r="B2031" t="s">
        <v>2070</v>
      </c>
      <c r="C2031" t="str">
        <f>"9789811575976"</f>
        <v>9789811575976</v>
      </c>
      <c r="D2031" t="str">
        <f>"9789811575983"</f>
        <v>9789811575983</v>
      </c>
      <c r="E2031" t="s">
        <v>1177</v>
      </c>
      <c r="F2031" s="1">
        <v>44196</v>
      </c>
    </row>
    <row r="2032" spans="1:6" x14ac:dyDescent="0.25">
      <c r="A2032">
        <v>6449033</v>
      </c>
      <c r="B2032" t="s">
        <v>2071</v>
      </c>
      <c r="C2032" t="str">
        <f>"9783030570309"</f>
        <v>9783030570309</v>
      </c>
      <c r="D2032" t="str">
        <f>"9783030570316"</f>
        <v>9783030570316</v>
      </c>
      <c r="E2032" t="s">
        <v>756</v>
      </c>
      <c r="F2032" s="1">
        <v>44195</v>
      </c>
    </row>
    <row r="2033" spans="1:6" x14ac:dyDescent="0.25">
      <c r="A2033">
        <v>6449034</v>
      </c>
      <c r="B2033" t="s">
        <v>2072</v>
      </c>
      <c r="C2033" t="str">
        <f>"9783658323882"</f>
        <v>9783658323882</v>
      </c>
      <c r="D2033" t="str">
        <f>"9783658323899"</f>
        <v>9783658323899</v>
      </c>
      <c r="E2033" t="s">
        <v>1391</v>
      </c>
      <c r="F2033" s="1">
        <v>44195</v>
      </c>
    </row>
    <row r="2034" spans="1:6" x14ac:dyDescent="0.25">
      <c r="A2034">
        <v>6449885</v>
      </c>
      <c r="B2034" t="s">
        <v>2073</v>
      </c>
      <c r="C2034" t="str">
        <f>"9783030599508"</f>
        <v>9783030599508</v>
      </c>
      <c r="D2034" t="str">
        <f>"9783030599515"</f>
        <v>9783030599515</v>
      </c>
      <c r="E2034" t="s">
        <v>756</v>
      </c>
      <c r="F2034" s="1">
        <v>44197</v>
      </c>
    </row>
    <row r="2035" spans="1:6" x14ac:dyDescent="0.25">
      <c r="A2035">
        <v>6449894</v>
      </c>
      <c r="B2035" t="s">
        <v>2074</v>
      </c>
      <c r="C2035" t="str">
        <f>""</f>
        <v/>
      </c>
      <c r="D2035" t="str">
        <f>"9789179297299"</f>
        <v>9789179297299</v>
      </c>
      <c r="E2035" t="s">
        <v>1268</v>
      </c>
      <c r="F2035" s="1">
        <v>44194</v>
      </c>
    </row>
    <row r="2036" spans="1:6" x14ac:dyDescent="0.25">
      <c r="A2036">
        <v>6449895</v>
      </c>
      <c r="B2036" t="s">
        <v>2075</v>
      </c>
      <c r="C2036" t="str">
        <f>""</f>
        <v/>
      </c>
      <c r="D2036" t="str">
        <f>"9789179297138"</f>
        <v>9789179297138</v>
      </c>
      <c r="E2036" t="s">
        <v>1268</v>
      </c>
      <c r="F2036" s="1">
        <v>44194</v>
      </c>
    </row>
    <row r="2037" spans="1:6" x14ac:dyDescent="0.25">
      <c r="A2037">
        <v>6449897</v>
      </c>
      <c r="B2037" t="s">
        <v>2076</v>
      </c>
      <c r="C2037" t="str">
        <f>""</f>
        <v/>
      </c>
      <c r="D2037" t="str">
        <f>"9789179297213"</f>
        <v>9789179297213</v>
      </c>
      <c r="E2037" t="s">
        <v>1268</v>
      </c>
      <c r="F2037" s="1">
        <v>44193</v>
      </c>
    </row>
    <row r="2038" spans="1:6" x14ac:dyDescent="0.25">
      <c r="A2038">
        <v>6451165</v>
      </c>
      <c r="B2038" t="s">
        <v>2077</v>
      </c>
      <c r="C2038" t="str">
        <f>"9789811583223"</f>
        <v>9789811583223</v>
      </c>
      <c r="D2038" t="str">
        <f>"9789811583230"</f>
        <v>9789811583230</v>
      </c>
      <c r="E2038" t="s">
        <v>1177</v>
      </c>
      <c r="F2038" s="1">
        <v>44202</v>
      </c>
    </row>
    <row r="2039" spans="1:6" x14ac:dyDescent="0.25">
      <c r="A2039">
        <v>6451166</v>
      </c>
      <c r="B2039" t="s">
        <v>2078</v>
      </c>
      <c r="C2039" t="str">
        <f>"9783030558772"</f>
        <v>9783030558772</v>
      </c>
      <c r="D2039" t="str">
        <f>"9783030558789"</f>
        <v>9783030558789</v>
      </c>
      <c r="E2039" t="s">
        <v>756</v>
      </c>
      <c r="F2039" s="1">
        <v>44202</v>
      </c>
    </row>
    <row r="2040" spans="1:6" x14ac:dyDescent="0.25">
      <c r="A2040">
        <v>6451167</v>
      </c>
      <c r="B2040" t="s">
        <v>2079</v>
      </c>
      <c r="C2040" t="str">
        <f>"9783662623169"</f>
        <v>9783662623169</v>
      </c>
      <c r="D2040" t="str">
        <f>"9783662623176"</f>
        <v>9783662623176</v>
      </c>
      <c r="E2040" t="s">
        <v>1416</v>
      </c>
      <c r="F2040" s="1">
        <v>44202</v>
      </c>
    </row>
    <row r="2041" spans="1:6" x14ac:dyDescent="0.25">
      <c r="A2041">
        <v>6451168</v>
      </c>
      <c r="B2041" t="s">
        <v>2080</v>
      </c>
      <c r="C2041" t="str">
        <f>"9783030493875"</f>
        <v>9783030493875</v>
      </c>
      <c r="D2041" t="str">
        <f>"9783030493882"</f>
        <v>9783030493882</v>
      </c>
      <c r="E2041" t="s">
        <v>756</v>
      </c>
      <c r="F2041" s="1">
        <v>44202</v>
      </c>
    </row>
    <row r="2042" spans="1:6" x14ac:dyDescent="0.25">
      <c r="A2042">
        <v>6451944</v>
      </c>
      <c r="B2042" t="s">
        <v>2081</v>
      </c>
      <c r="C2042" t="str">
        <f>"9789811595974"</f>
        <v>9789811595974</v>
      </c>
      <c r="D2042" t="str">
        <f>"9789811595981"</f>
        <v>9789811595981</v>
      </c>
      <c r="E2042" t="s">
        <v>1177</v>
      </c>
      <c r="F2042" s="1">
        <v>44204</v>
      </c>
    </row>
    <row r="2043" spans="1:6" x14ac:dyDescent="0.25">
      <c r="A2043">
        <v>6452454</v>
      </c>
      <c r="B2043" t="s">
        <v>2082</v>
      </c>
      <c r="C2043" t="str">
        <f>"9783030663025"</f>
        <v>9783030663025</v>
      </c>
      <c r="D2043" t="str">
        <f>"9783030663032"</f>
        <v>9783030663032</v>
      </c>
      <c r="E2043" t="s">
        <v>756</v>
      </c>
      <c r="F2043" s="1">
        <v>44204</v>
      </c>
    </row>
    <row r="2044" spans="1:6" x14ac:dyDescent="0.25">
      <c r="A2044">
        <v>6452779</v>
      </c>
      <c r="B2044" t="s">
        <v>2083</v>
      </c>
      <c r="C2044" t="str">
        <f>""</f>
        <v/>
      </c>
      <c r="D2044" t="str">
        <f>"9789179297275"</f>
        <v>9789179297275</v>
      </c>
      <c r="E2044" t="s">
        <v>1268</v>
      </c>
      <c r="F2044" s="1">
        <v>44201</v>
      </c>
    </row>
    <row r="2045" spans="1:6" x14ac:dyDescent="0.25">
      <c r="A2045">
        <v>6452780</v>
      </c>
      <c r="B2045" t="s">
        <v>2084</v>
      </c>
      <c r="C2045" t="str">
        <f>""</f>
        <v/>
      </c>
      <c r="D2045" t="str">
        <f>"9789179297992"</f>
        <v>9789179297992</v>
      </c>
      <c r="E2045" t="s">
        <v>1268</v>
      </c>
      <c r="F2045" s="1">
        <v>44204</v>
      </c>
    </row>
    <row r="2046" spans="1:6" x14ac:dyDescent="0.25">
      <c r="A2046">
        <v>6454116</v>
      </c>
      <c r="B2046" t="s">
        <v>2085</v>
      </c>
      <c r="C2046" t="str">
        <f>"9789811580130"</f>
        <v>9789811580130</v>
      </c>
      <c r="D2046" t="str">
        <f>"9789811580147"</f>
        <v>9789811580147</v>
      </c>
      <c r="E2046" t="s">
        <v>1177</v>
      </c>
      <c r="F2046" s="1">
        <v>44208</v>
      </c>
    </row>
    <row r="2047" spans="1:6" x14ac:dyDescent="0.25">
      <c r="A2047">
        <v>6454117</v>
      </c>
      <c r="B2047" t="s">
        <v>2086</v>
      </c>
      <c r="C2047" t="str">
        <f>"9783030582777"</f>
        <v>9783030582777</v>
      </c>
      <c r="D2047" t="str">
        <f>"9783030582784"</f>
        <v>9783030582784</v>
      </c>
      <c r="E2047" t="s">
        <v>756</v>
      </c>
      <c r="F2047" s="1">
        <v>44208</v>
      </c>
    </row>
    <row r="2048" spans="1:6" x14ac:dyDescent="0.25">
      <c r="A2048">
        <v>6454149</v>
      </c>
      <c r="B2048" t="s">
        <v>2087</v>
      </c>
      <c r="C2048" t="str">
        <f>"9781526101495"</f>
        <v>9781526101495</v>
      </c>
      <c r="D2048" t="str">
        <f>"9781526101501"</f>
        <v>9781526101501</v>
      </c>
      <c r="E2048" t="s">
        <v>4</v>
      </c>
      <c r="F2048" s="1">
        <v>44175</v>
      </c>
    </row>
    <row r="2049" spans="1:6" x14ac:dyDescent="0.25">
      <c r="A2049">
        <v>6454799</v>
      </c>
      <c r="B2049" t="s">
        <v>2088</v>
      </c>
      <c r="C2049" t="str">
        <f>""</f>
        <v/>
      </c>
      <c r="D2049" t="str">
        <f>"9789027212030"</f>
        <v>9789027212030</v>
      </c>
      <c r="E2049" t="s">
        <v>413</v>
      </c>
      <c r="F2049" s="1">
        <v>41360</v>
      </c>
    </row>
    <row r="2050" spans="1:6" x14ac:dyDescent="0.25">
      <c r="A2050">
        <v>6454806</v>
      </c>
      <c r="B2050" t="s">
        <v>2089</v>
      </c>
      <c r="C2050" t="str">
        <f>"9781800640429"</f>
        <v>9781800640429</v>
      </c>
      <c r="D2050" t="str">
        <f>"9781800640436"</f>
        <v>9781800640436</v>
      </c>
      <c r="E2050" t="s">
        <v>580</v>
      </c>
      <c r="F2050" s="1">
        <v>44200</v>
      </c>
    </row>
    <row r="2051" spans="1:6" x14ac:dyDescent="0.25">
      <c r="A2051">
        <v>6454807</v>
      </c>
      <c r="B2051" t="s">
        <v>2090</v>
      </c>
      <c r="C2051" t="str">
        <f>"9781783749157"</f>
        <v>9781783749157</v>
      </c>
      <c r="D2051" t="str">
        <f>"9781783749164"</f>
        <v>9781783749164</v>
      </c>
      <c r="E2051" t="s">
        <v>580</v>
      </c>
      <c r="F2051" s="1">
        <v>44211</v>
      </c>
    </row>
    <row r="2052" spans="1:6" x14ac:dyDescent="0.25">
      <c r="A2052">
        <v>6454864</v>
      </c>
      <c r="B2052" t="s">
        <v>2091</v>
      </c>
      <c r="C2052" t="str">
        <f>"9783030657840"</f>
        <v>9783030657840</v>
      </c>
      <c r="D2052" t="str">
        <f>"9783030657857"</f>
        <v>9783030657857</v>
      </c>
      <c r="E2052" t="s">
        <v>756</v>
      </c>
      <c r="F2052" s="1">
        <v>44208</v>
      </c>
    </row>
    <row r="2053" spans="1:6" x14ac:dyDescent="0.25">
      <c r="A2053">
        <v>6455780</v>
      </c>
      <c r="B2053" t="s">
        <v>2092</v>
      </c>
      <c r="C2053" t="str">
        <f>"9783030585044"</f>
        <v>9783030585044</v>
      </c>
      <c r="D2053" t="str">
        <f>"9783030585051"</f>
        <v>9783030585051</v>
      </c>
      <c r="E2053" t="s">
        <v>756</v>
      </c>
      <c r="F2053" s="1">
        <v>44211</v>
      </c>
    </row>
    <row r="2054" spans="1:6" x14ac:dyDescent="0.25">
      <c r="A2054">
        <v>6455781</v>
      </c>
      <c r="B2054" t="s">
        <v>2093</v>
      </c>
      <c r="C2054" t="str">
        <f>"9783030105907"</f>
        <v>9783030105907</v>
      </c>
      <c r="D2054" t="str">
        <f>"9783030105914"</f>
        <v>9783030105914</v>
      </c>
      <c r="E2054" t="s">
        <v>756</v>
      </c>
      <c r="F2054" s="1">
        <v>44211</v>
      </c>
    </row>
    <row r="2055" spans="1:6" x14ac:dyDescent="0.25">
      <c r="A2055">
        <v>6455782</v>
      </c>
      <c r="B2055" t="s">
        <v>2094</v>
      </c>
      <c r="C2055" t="str">
        <f>"9783030471491"</f>
        <v>9783030471491</v>
      </c>
      <c r="D2055" t="str">
        <f>"9783030471507"</f>
        <v>9783030471507</v>
      </c>
      <c r="E2055" t="s">
        <v>756</v>
      </c>
      <c r="F2055" s="1">
        <v>44211</v>
      </c>
    </row>
    <row r="2056" spans="1:6" x14ac:dyDescent="0.25">
      <c r="A2056">
        <v>6455966</v>
      </c>
      <c r="B2056" t="s">
        <v>2095</v>
      </c>
      <c r="C2056" t="str">
        <f>"9783030594022"</f>
        <v>9783030594022</v>
      </c>
      <c r="D2056" t="str">
        <f>"9783030594039"</f>
        <v>9783030594039</v>
      </c>
      <c r="E2056" t="s">
        <v>756</v>
      </c>
      <c r="F2056" s="1">
        <v>44180</v>
      </c>
    </row>
    <row r="2057" spans="1:6" x14ac:dyDescent="0.25">
      <c r="A2057">
        <v>6457818</v>
      </c>
      <c r="B2057" t="s">
        <v>2096</v>
      </c>
      <c r="C2057" t="str">
        <f>"9781478009917"</f>
        <v>9781478009917</v>
      </c>
      <c r="D2057" t="str">
        <f>"9781478012504"</f>
        <v>9781478012504</v>
      </c>
      <c r="E2057" t="s">
        <v>174</v>
      </c>
      <c r="F2057" s="1">
        <v>44204</v>
      </c>
    </row>
    <row r="2058" spans="1:6" x14ac:dyDescent="0.25">
      <c r="A2058">
        <v>6458190</v>
      </c>
      <c r="B2058" t="s">
        <v>2097</v>
      </c>
      <c r="C2058" t="str">
        <f>""</f>
        <v/>
      </c>
      <c r="D2058" t="str">
        <f>"9789179297343"</f>
        <v>9789179297343</v>
      </c>
      <c r="E2058" t="s">
        <v>1268</v>
      </c>
      <c r="F2058" s="1">
        <v>44209</v>
      </c>
    </row>
    <row r="2059" spans="1:6" x14ac:dyDescent="0.25">
      <c r="A2059">
        <v>6458192</v>
      </c>
      <c r="B2059" t="s">
        <v>2098</v>
      </c>
      <c r="C2059" t="str">
        <f>""</f>
        <v/>
      </c>
      <c r="D2059" t="str">
        <f>"9789179297381"</f>
        <v>9789179297381</v>
      </c>
      <c r="E2059" t="s">
        <v>1268</v>
      </c>
      <c r="F2059" s="1">
        <v>44175</v>
      </c>
    </row>
    <row r="2060" spans="1:6" x14ac:dyDescent="0.25">
      <c r="A2060">
        <v>6458353</v>
      </c>
      <c r="B2060" t="s">
        <v>2099</v>
      </c>
      <c r="C2060" t="str">
        <f>"9789813349216"</f>
        <v>9789813349216</v>
      </c>
      <c r="D2060" t="str">
        <f>"9789813349223"</f>
        <v>9789813349223</v>
      </c>
      <c r="E2060" t="s">
        <v>1177</v>
      </c>
      <c r="F2060" s="1">
        <v>44215</v>
      </c>
    </row>
    <row r="2061" spans="1:6" x14ac:dyDescent="0.25">
      <c r="A2061">
        <v>6458965</v>
      </c>
      <c r="B2061" t="s">
        <v>2100</v>
      </c>
      <c r="C2061" t="str">
        <f>"9783030477745"</f>
        <v>9783030477745</v>
      </c>
      <c r="D2061" t="str">
        <f>"9783030477752"</f>
        <v>9783030477752</v>
      </c>
      <c r="E2061" t="s">
        <v>756</v>
      </c>
      <c r="F2061" s="1">
        <v>44216</v>
      </c>
    </row>
    <row r="2062" spans="1:6" x14ac:dyDescent="0.25">
      <c r="A2062">
        <v>6458966</v>
      </c>
      <c r="B2062" t="s">
        <v>2101</v>
      </c>
      <c r="C2062" t="str">
        <f>"9783030611590"</f>
        <v>9783030611590</v>
      </c>
      <c r="D2062" t="str">
        <f>"9783030611606"</f>
        <v>9783030611606</v>
      </c>
      <c r="E2062" t="s">
        <v>756</v>
      </c>
      <c r="F2062" s="1">
        <v>44216</v>
      </c>
    </row>
    <row r="2063" spans="1:6" x14ac:dyDescent="0.25">
      <c r="A2063">
        <v>6460302</v>
      </c>
      <c r="B2063" t="s">
        <v>2102</v>
      </c>
      <c r="C2063" t="str">
        <f>"9783030632656"</f>
        <v>9783030632656</v>
      </c>
      <c r="D2063" t="str">
        <f>"9783030632663"</f>
        <v>9783030632663</v>
      </c>
      <c r="E2063" t="s">
        <v>756</v>
      </c>
      <c r="F2063" s="1">
        <v>44217</v>
      </c>
    </row>
    <row r="2064" spans="1:6" x14ac:dyDescent="0.25">
      <c r="A2064">
        <v>6460904</v>
      </c>
      <c r="B2064" t="s">
        <v>2103</v>
      </c>
      <c r="C2064" t="str">
        <f>"9783658308810"</f>
        <v>9783658308810</v>
      </c>
      <c r="D2064" t="str">
        <f>"9783658308827"</f>
        <v>9783658308827</v>
      </c>
      <c r="E2064" t="s">
        <v>1391</v>
      </c>
      <c r="F2064" s="1">
        <v>44218</v>
      </c>
    </row>
    <row r="2065" spans="1:6" x14ac:dyDescent="0.25">
      <c r="A2065">
        <v>6460905</v>
      </c>
      <c r="B2065" t="s">
        <v>2104</v>
      </c>
      <c r="C2065" t="str">
        <f>"9783030616472"</f>
        <v>9783030616472</v>
      </c>
      <c r="D2065" t="str">
        <f>"9783030616489"</f>
        <v>9783030616489</v>
      </c>
      <c r="E2065" t="s">
        <v>756</v>
      </c>
      <c r="F2065" s="1">
        <v>44218</v>
      </c>
    </row>
    <row r="2066" spans="1:6" x14ac:dyDescent="0.25">
      <c r="A2066">
        <v>6461734</v>
      </c>
      <c r="B2066" t="s">
        <v>2105</v>
      </c>
      <c r="C2066" t="str">
        <f>"9783662626344"</f>
        <v>9783662626344</v>
      </c>
      <c r="D2066" t="str">
        <f>"9783662626351"</f>
        <v>9783662626351</v>
      </c>
      <c r="E2066" t="s">
        <v>1852</v>
      </c>
      <c r="F2066" s="1">
        <v>44219</v>
      </c>
    </row>
    <row r="2067" spans="1:6" x14ac:dyDescent="0.25">
      <c r="A2067">
        <v>6462031</v>
      </c>
      <c r="B2067" t="s">
        <v>2106</v>
      </c>
      <c r="C2067" t="str">
        <f>"9783658324100"</f>
        <v>9783658324100</v>
      </c>
      <c r="D2067" t="str">
        <f>"9783658324117"</f>
        <v>9783658324117</v>
      </c>
      <c r="E2067" t="s">
        <v>1391</v>
      </c>
      <c r="F2067" s="1">
        <v>44220</v>
      </c>
    </row>
    <row r="2068" spans="1:6" x14ac:dyDescent="0.25">
      <c r="A2068">
        <v>6462068</v>
      </c>
      <c r="B2068" t="s">
        <v>2107</v>
      </c>
      <c r="C2068" t="str">
        <f>"9783658330422"</f>
        <v>9783658330422</v>
      </c>
      <c r="D2068" t="str">
        <f>"9783658330439"</f>
        <v>9783658330439</v>
      </c>
      <c r="E2068" t="s">
        <v>1391</v>
      </c>
      <c r="F2068" s="1">
        <v>44259</v>
      </c>
    </row>
    <row r="2069" spans="1:6" x14ac:dyDescent="0.25">
      <c r="A2069">
        <v>6462400</v>
      </c>
      <c r="B2069" t="s">
        <v>2108</v>
      </c>
      <c r="C2069" t="str">
        <f>""</f>
        <v/>
      </c>
      <c r="D2069" t="str">
        <f>"9789179297787"</f>
        <v>9789179297787</v>
      </c>
      <c r="E2069" t="s">
        <v>1268</v>
      </c>
      <c r="F2069" s="1">
        <v>44218</v>
      </c>
    </row>
    <row r="2070" spans="1:6" x14ac:dyDescent="0.25">
      <c r="A2070">
        <v>6462401</v>
      </c>
      <c r="B2070" t="s">
        <v>2109</v>
      </c>
      <c r="C2070" t="str">
        <f>""</f>
        <v/>
      </c>
      <c r="D2070" t="str">
        <f>"9789179297541"</f>
        <v>9789179297541</v>
      </c>
      <c r="E2070" t="s">
        <v>1268</v>
      </c>
      <c r="F2070" s="1">
        <v>44217</v>
      </c>
    </row>
    <row r="2071" spans="1:6" x14ac:dyDescent="0.25">
      <c r="A2071">
        <v>6462402</v>
      </c>
      <c r="B2071" t="s">
        <v>2110</v>
      </c>
      <c r="C2071" t="str">
        <f>""</f>
        <v/>
      </c>
      <c r="D2071" t="str">
        <f>"9789179297091"</f>
        <v>9789179297091</v>
      </c>
      <c r="E2071" t="s">
        <v>1268</v>
      </c>
      <c r="F2071" s="1">
        <v>44217</v>
      </c>
    </row>
    <row r="2072" spans="1:6" x14ac:dyDescent="0.25">
      <c r="A2072">
        <v>6462403</v>
      </c>
      <c r="B2072" t="s">
        <v>2111</v>
      </c>
      <c r="C2072" t="str">
        <f>""</f>
        <v/>
      </c>
      <c r="D2072" t="str">
        <f>"9789179297145"</f>
        <v>9789179297145</v>
      </c>
      <c r="E2072" t="s">
        <v>1268</v>
      </c>
      <c r="F2072" s="1">
        <v>44216</v>
      </c>
    </row>
    <row r="2073" spans="1:6" x14ac:dyDescent="0.25">
      <c r="A2073">
        <v>6462405</v>
      </c>
      <c r="B2073" t="s">
        <v>2112</v>
      </c>
      <c r="C2073" t="str">
        <f>""</f>
        <v/>
      </c>
      <c r="D2073" t="str">
        <f>"9789179297336"</f>
        <v>9789179297336</v>
      </c>
      <c r="E2073" t="s">
        <v>1268</v>
      </c>
      <c r="F2073" s="1">
        <v>44218</v>
      </c>
    </row>
    <row r="2074" spans="1:6" x14ac:dyDescent="0.25">
      <c r="A2074">
        <v>6462406</v>
      </c>
      <c r="B2074" t="s">
        <v>2113</v>
      </c>
      <c r="C2074" t="str">
        <f>""</f>
        <v/>
      </c>
      <c r="D2074" t="str">
        <f>"9789179297084"</f>
        <v>9789179297084</v>
      </c>
      <c r="E2074" t="s">
        <v>1268</v>
      </c>
      <c r="F2074" s="1">
        <v>44214</v>
      </c>
    </row>
    <row r="2075" spans="1:6" x14ac:dyDescent="0.25">
      <c r="A2075">
        <v>6462818</v>
      </c>
      <c r="B2075" t="s">
        <v>2114</v>
      </c>
      <c r="C2075" t="str">
        <f>"9781800640337"</f>
        <v>9781800640337</v>
      </c>
      <c r="D2075" t="str">
        <f>"9781800640344"</f>
        <v>9781800640344</v>
      </c>
      <c r="E2075" t="s">
        <v>580</v>
      </c>
      <c r="F2075" s="1">
        <v>44196</v>
      </c>
    </row>
    <row r="2076" spans="1:6" x14ac:dyDescent="0.25">
      <c r="A2076">
        <v>6462819</v>
      </c>
      <c r="B2076" t="s">
        <v>2115</v>
      </c>
      <c r="C2076" t="str">
        <f>"9781783749096"</f>
        <v>9781783749096</v>
      </c>
      <c r="D2076" t="str">
        <f>"9781783749102"</f>
        <v>9781783749102</v>
      </c>
      <c r="E2076" t="s">
        <v>580</v>
      </c>
      <c r="F2076" s="1">
        <v>44180</v>
      </c>
    </row>
    <row r="2077" spans="1:6" x14ac:dyDescent="0.25">
      <c r="A2077">
        <v>6462820</v>
      </c>
      <c r="B2077" t="s">
        <v>2116</v>
      </c>
      <c r="C2077" t="str">
        <f>"9781783749485"</f>
        <v>9781783749485</v>
      </c>
      <c r="D2077" t="str">
        <f>"9781783749492"</f>
        <v>9781783749492</v>
      </c>
      <c r="E2077" t="s">
        <v>580</v>
      </c>
      <c r="F2077" s="1">
        <v>44043</v>
      </c>
    </row>
    <row r="2078" spans="1:6" x14ac:dyDescent="0.25">
      <c r="A2078">
        <v>6462821</v>
      </c>
      <c r="B2078" t="s">
        <v>2117</v>
      </c>
      <c r="C2078" t="str">
        <f>"9781800640368"</f>
        <v>9781800640368</v>
      </c>
      <c r="D2078" t="str">
        <f>"9781800640375"</f>
        <v>9781800640375</v>
      </c>
      <c r="E2078" t="s">
        <v>580</v>
      </c>
      <c r="F2078" s="1">
        <v>44162</v>
      </c>
    </row>
    <row r="2079" spans="1:6" x14ac:dyDescent="0.25">
      <c r="A2079">
        <v>6463481</v>
      </c>
      <c r="B2079" t="s">
        <v>2118</v>
      </c>
      <c r="C2079" t="str">
        <f>"9783030609092"</f>
        <v>9783030609092</v>
      </c>
      <c r="D2079" t="str">
        <f>"9783030609108"</f>
        <v>9783030609108</v>
      </c>
      <c r="E2079" t="s">
        <v>756</v>
      </c>
      <c r="F2079" s="1">
        <v>44222</v>
      </c>
    </row>
    <row r="2080" spans="1:6" x14ac:dyDescent="0.25">
      <c r="A2080">
        <v>6463794</v>
      </c>
      <c r="B2080" t="s">
        <v>2119</v>
      </c>
      <c r="C2080" t="str">
        <f>"9783030486051"</f>
        <v>9783030486051</v>
      </c>
      <c r="D2080" t="str">
        <f>"9783030486068"</f>
        <v>9783030486068</v>
      </c>
      <c r="E2080" t="s">
        <v>756</v>
      </c>
      <c r="F2080" s="1">
        <v>44223</v>
      </c>
    </row>
    <row r="2081" spans="1:6" x14ac:dyDescent="0.25">
      <c r="A2081">
        <v>6465590</v>
      </c>
      <c r="B2081" t="s">
        <v>2120</v>
      </c>
      <c r="C2081" t="str">
        <f>"9789813343993"</f>
        <v>9789813343993</v>
      </c>
      <c r="D2081" t="str">
        <f>"9789813344006"</f>
        <v>9789813344006</v>
      </c>
      <c r="E2081" t="s">
        <v>1177</v>
      </c>
      <c r="F2081" s="1">
        <v>44225</v>
      </c>
    </row>
    <row r="2082" spans="1:6" x14ac:dyDescent="0.25">
      <c r="A2082">
        <v>6465591</v>
      </c>
      <c r="B2082" t="s">
        <v>2121</v>
      </c>
      <c r="C2082" t="str">
        <f>"9783030596934"</f>
        <v>9783030596934</v>
      </c>
      <c r="D2082" t="str">
        <f>"9783030596941"</f>
        <v>9783030596941</v>
      </c>
      <c r="E2082" t="s">
        <v>756</v>
      </c>
      <c r="F2082" s="1">
        <v>44225</v>
      </c>
    </row>
    <row r="2083" spans="1:6" x14ac:dyDescent="0.25">
      <c r="A2083">
        <v>6465855</v>
      </c>
      <c r="B2083" t="s">
        <v>2122</v>
      </c>
      <c r="C2083" t="str">
        <f>"9783030536961"</f>
        <v>9783030536961</v>
      </c>
      <c r="D2083" t="str">
        <f>"9783030536978"</f>
        <v>9783030536978</v>
      </c>
      <c r="E2083" t="s">
        <v>756</v>
      </c>
      <c r="F2083" s="1">
        <v>44226</v>
      </c>
    </row>
    <row r="2084" spans="1:6" x14ac:dyDescent="0.25">
      <c r="A2084">
        <v>6465856</v>
      </c>
      <c r="B2084" t="s">
        <v>2123</v>
      </c>
      <c r="C2084" t="str">
        <f>"9783030542597"</f>
        <v>9783030542597</v>
      </c>
      <c r="D2084" t="str">
        <f>"9783030542603"</f>
        <v>9783030542603</v>
      </c>
      <c r="E2084" t="s">
        <v>756</v>
      </c>
      <c r="F2084" s="1">
        <v>44227</v>
      </c>
    </row>
    <row r="2085" spans="1:6" x14ac:dyDescent="0.25">
      <c r="A2085">
        <v>6465857</v>
      </c>
      <c r="B2085" t="s">
        <v>2124</v>
      </c>
      <c r="C2085" t="str">
        <f>"9783030553951"</f>
        <v>9783030553951</v>
      </c>
      <c r="D2085" t="str">
        <f>"9783030553968"</f>
        <v>9783030553968</v>
      </c>
      <c r="E2085" t="s">
        <v>756</v>
      </c>
      <c r="F2085" s="1">
        <v>44226</v>
      </c>
    </row>
    <row r="2086" spans="1:6" x14ac:dyDescent="0.25">
      <c r="A2086">
        <v>6465859</v>
      </c>
      <c r="B2086" t="s">
        <v>2125</v>
      </c>
      <c r="C2086" t="str">
        <f>"9789811586316"</f>
        <v>9789811586316</v>
      </c>
      <c r="D2086" t="str">
        <f>"9789811586323"</f>
        <v>9789811586323</v>
      </c>
      <c r="E2086" t="s">
        <v>757</v>
      </c>
      <c r="F2086" s="1">
        <v>44226</v>
      </c>
    </row>
    <row r="2087" spans="1:6" x14ac:dyDescent="0.25">
      <c r="A2087">
        <v>6466070</v>
      </c>
      <c r="B2087" t="s">
        <v>2126</v>
      </c>
      <c r="C2087" t="str">
        <f>""</f>
        <v/>
      </c>
      <c r="D2087" t="str">
        <f>"9789179297008"</f>
        <v>9789179297008</v>
      </c>
      <c r="E2087" t="s">
        <v>1268</v>
      </c>
      <c r="F2087" s="1">
        <v>44223</v>
      </c>
    </row>
    <row r="2088" spans="1:6" x14ac:dyDescent="0.25">
      <c r="A2088">
        <v>6466071</v>
      </c>
      <c r="B2088" t="s">
        <v>2127</v>
      </c>
      <c r="C2088" t="str">
        <f>""</f>
        <v/>
      </c>
      <c r="D2088" t="str">
        <f>"9789179297183"</f>
        <v>9789179297183</v>
      </c>
      <c r="E2088" t="s">
        <v>1268</v>
      </c>
      <c r="F2088" s="1">
        <v>44201</v>
      </c>
    </row>
    <row r="2089" spans="1:6" x14ac:dyDescent="0.25">
      <c r="A2089">
        <v>6466935</v>
      </c>
      <c r="B2089" t="s">
        <v>2128</v>
      </c>
      <c r="C2089" t="str">
        <f>"9789811588471"</f>
        <v>9789811588471</v>
      </c>
      <c r="D2089" t="str">
        <f>"9789811588488"</f>
        <v>9789811588488</v>
      </c>
      <c r="E2089" t="s">
        <v>1177</v>
      </c>
      <c r="F2089" s="1">
        <v>44229</v>
      </c>
    </row>
    <row r="2090" spans="1:6" x14ac:dyDescent="0.25">
      <c r="A2090">
        <v>6466936</v>
      </c>
      <c r="B2090" t="s">
        <v>2129</v>
      </c>
      <c r="C2090" t="str">
        <f>"9783030453664"</f>
        <v>9783030453664</v>
      </c>
      <c r="D2090" t="str">
        <f>"9783030453671"</f>
        <v>9783030453671</v>
      </c>
      <c r="E2090" t="s">
        <v>756</v>
      </c>
      <c r="F2090" s="1">
        <v>44229</v>
      </c>
    </row>
    <row r="2091" spans="1:6" x14ac:dyDescent="0.25">
      <c r="A2091">
        <v>6473547</v>
      </c>
      <c r="B2091" t="s">
        <v>2130</v>
      </c>
      <c r="C2091" t="str">
        <f>""</f>
        <v/>
      </c>
      <c r="D2091" t="str">
        <f>"9789179297473"</f>
        <v>9789179297473</v>
      </c>
      <c r="E2091" t="s">
        <v>1268</v>
      </c>
      <c r="F2091" s="1">
        <v>44231</v>
      </c>
    </row>
    <row r="2092" spans="1:6" x14ac:dyDescent="0.25">
      <c r="A2092">
        <v>6473548</v>
      </c>
      <c r="B2092" t="s">
        <v>2131</v>
      </c>
      <c r="C2092" t="str">
        <f>""</f>
        <v/>
      </c>
      <c r="D2092" t="str">
        <f>"9789179297510"</f>
        <v>9789179297510</v>
      </c>
      <c r="E2092" t="s">
        <v>1268</v>
      </c>
      <c r="F2092" s="1">
        <v>44231</v>
      </c>
    </row>
    <row r="2093" spans="1:6" x14ac:dyDescent="0.25">
      <c r="A2093">
        <v>6473956</v>
      </c>
      <c r="B2093" t="s">
        <v>2132</v>
      </c>
      <c r="C2093" t="str">
        <f>"9783030555665"</f>
        <v>9783030555665</v>
      </c>
      <c r="D2093" t="str">
        <f>"9783030555672"</f>
        <v>9783030555672</v>
      </c>
      <c r="E2093" t="s">
        <v>756</v>
      </c>
      <c r="F2093" s="1">
        <v>44236</v>
      </c>
    </row>
    <row r="2094" spans="1:6" x14ac:dyDescent="0.25">
      <c r="A2094">
        <v>6473957</v>
      </c>
      <c r="B2094" t="s">
        <v>2133</v>
      </c>
      <c r="C2094" t="str">
        <f>"9783658317348"</f>
        <v>9783658317348</v>
      </c>
      <c r="D2094" t="str">
        <f>"9783658317355"</f>
        <v>9783658317355</v>
      </c>
      <c r="E2094" t="s">
        <v>1391</v>
      </c>
      <c r="F2094" s="1">
        <v>44236</v>
      </c>
    </row>
    <row r="2095" spans="1:6" x14ac:dyDescent="0.25">
      <c r="A2095">
        <v>6475818</v>
      </c>
      <c r="B2095" t="s">
        <v>2134</v>
      </c>
      <c r="C2095" t="str">
        <f>"9783030577636"</f>
        <v>9783030577636</v>
      </c>
      <c r="D2095" t="str">
        <f>"9783030577643"</f>
        <v>9783030577643</v>
      </c>
      <c r="E2095" t="s">
        <v>756</v>
      </c>
      <c r="F2095" s="1">
        <v>44237</v>
      </c>
    </row>
    <row r="2096" spans="1:6" x14ac:dyDescent="0.25">
      <c r="A2096">
        <v>6475844</v>
      </c>
      <c r="B2096" t="s">
        <v>2135</v>
      </c>
      <c r="C2096" t="str">
        <f>"9781783749768"</f>
        <v>9781783749768</v>
      </c>
      <c r="D2096" t="str">
        <f>"9781783749775"</f>
        <v>9781783749775</v>
      </c>
      <c r="E2096" t="s">
        <v>580</v>
      </c>
      <c r="F2096" s="1">
        <v>44244</v>
      </c>
    </row>
    <row r="2097" spans="1:6" x14ac:dyDescent="0.25">
      <c r="A2097">
        <v>6476011</v>
      </c>
      <c r="B2097" t="s">
        <v>2136</v>
      </c>
      <c r="C2097" t="str">
        <f>"9783030525873"</f>
        <v>9783030525873</v>
      </c>
      <c r="D2097" t="str">
        <f>"9783030525880"</f>
        <v>9783030525880</v>
      </c>
      <c r="E2097" t="s">
        <v>756</v>
      </c>
      <c r="F2097" s="1">
        <v>44236</v>
      </c>
    </row>
    <row r="2098" spans="1:6" x14ac:dyDescent="0.25">
      <c r="A2098">
        <v>6476019</v>
      </c>
      <c r="B2098" t="s">
        <v>2137</v>
      </c>
      <c r="C2098" t="str">
        <f>"9789813341258"</f>
        <v>9789813341258</v>
      </c>
      <c r="D2098" t="str">
        <f>"9789813341265"</f>
        <v>9789813341265</v>
      </c>
      <c r="E2098" t="s">
        <v>1177</v>
      </c>
      <c r="F2098" s="1">
        <v>44236</v>
      </c>
    </row>
    <row r="2099" spans="1:6" x14ac:dyDescent="0.25">
      <c r="A2099">
        <v>6476601</v>
      </c>
      <c r="B2099" t="s">
        <v>2138</v>
      </c>
      <c r="C2099" t="str">
        <f>"9783030576684"</f>
        <v>9783030576684</v>
      </c>
      <c r="D2099" t="str">
        <f>"9783030576691"</f>
        <v>9783030576691</v>
      </c>
      <c r="E2099" t="s">
        <v>756</v>
      </c>
      <c r="F2099" s="1">
        <v>44238</v>
      </c>
    </row>
    <row r="2100" spans="1:6" x14ac:dyDescent="0.25">
      <c r="A2100">
        <v>6476602</v>
      </c>
      <c r="B2100" t="s">
        <v>2139</v>
      </c>
      <c r="C2100" t="str">
        <f>"9783658321055"</f>
        <v>9783658321055</v>
      </c>
      <c r="D2100" t="str">
        <f>"9783658321062"</f>
        <v>9783658321062</v>
      </c>
      <c r="E2100" t="s">
        <v>1391</v>
      </c>
      <c r="F2100" s="1">
        <v>44239</v>
      </c>
    </row>
    <row r="2101" spans="1:6" x14ac:dyDescent="0.25">
      <c r="A2101">
        <v>6478284</v>
      </c>
      <c r="B2101" t="s">
        <v>2140</v>
      </c>
      <c r="C2101" t="str">
        <f>"9783030562144"</f>
        <v>9783030562144</v>
      </c>
      <c r="D2101" t="str">
        <f>"9783030562151"</f>
        <v>9783030562151</v>
      </c>
      <c r="E2101" t="s">
        <v>756</v>
      </c>
      <c r="F2101" s="1">
        <v>44238</v>
      </c>
    </row>
    <row r="2102" spans="1:6" x14ac:dyDescent="0.25">
      <c r="A2102">
        <v>6478465</v>
      </c>
      <c r="B2102" t="s">
        <v>2141</v>
      </c>
      <c r="C2102" t="str">
        <f>"9783030541729"</f>
        <v>9783030541729</v>
      </c>
      <c r="D2102" t="str">
        <f>"9783030541736"</f>
        <v>9783030541736</v>
      </c>
      <c r="E2102" t="s">
        <v>756</v>
      </c>
      <c r="F2102" s="1">
        <v>44240</v>
      </c>
    </row>
    <row r="2103" spans="1:6" x14ac:dyDescent="0.25">
      <c r="A2103">
        <v>6478541</v>
      </c>
      <c r="B2103" t="s">
        <v>2142</v>
      </c>
      <c r="C2103" t="str">
        <f>""</f>
        <v/>
      </c>
      <c r="D2103" t="str">
        <f>"9789179297305"</f>
        <v>9789179297305</v>
      </c>
      <c r="E2103" t="s">
        <v>1268</v>
      </c>
      <c r="F2103" s="1">
        <v>44235</v>
      </c>
    </row>
    <row r="2104" spans="1:6" x14ac:dyDescent="0.25">
      <c r="A2104">
        <v>6478542</v>
      </c>
      <c r="B2104" t="s">
        <v>2143</v>
      </c>
      <c r="C2104" t="str">
        <f>""</f>
        <v/>
      </c>
      <c r="D2104" t="str">
        <f>"9789179296957"</f>
        <v>9789179296957</v>
      </c>
      <c r="E2104" t="s">
        <v>1268</v>
      </c>
      <c r="F2104" s="1">
        <v>44238</v>
      </c>
    </row>
    <row r="2105" spans="1:6" x14ac:dyDescent="0.25">
      <c r="A2105">
        <v>6478860</v>
      </c>
      <c r="B2105" t="s">
        <v>2144</v>
      </c>
      <c r="C2105" t="str">
        <f>"9781783747184"</f>
        <v>9781783747184</v>
      </c>
      <c r="D2105" t="str">
        <f>"9781783747191"</f>
        <v>9781783747191</v>
      </c>
      <c r="E2105" t="s">
        <v>580</v>
      </c>
      <c r="F2105" s="1">
        <v>43780</v>
      </c>
    </row>
    <row r="2106" spans="1:6" x14ac:dyDescent="0.25">
      <c r="A2106">
        <v>6478895</v>
      </c>
      <c r="B2106" t="s">
        <v>2145</v>
      </c>
      <c r="C2106" t="str">
        <f>"9783030610708"</f>
        <v>9783030610708</v>
      </c>
      <c r="D2106" t="str">
        <f>"9783030610715"</f>
        <v>9783030610715</v>
      </c>
      <c r="E2106" t="s">
        <v>756</v>
      </c>
      <c r="F2106" s="1">
        <v>44243</v>
      </c>
    </row>
    <row r="2107" spans="1:6" x14ac:dyDescent="0.25">
      <c r="A2107">
        <v>6478926</v>
      </c>
      <c r="B2107" t="s">
        <v>2146</v>
      </c>
      <c r="C2107" t="str">
        <f>"9789811513459"</f>
        <v>9789811513459</v>
      </c>
      <c r="D2107" t="str">
        <f>"9789811513466"</f>
        <v>9789811513466</v>
      </c>
      <c r="E2107" t="s">
        <v>757</v>
      </c>
      <c r="F2107" s="1">
        <v>44242</v>
      </c>
    </row>
    <row r="2108" spans="1:6" x14ac:dyDescent="0.25">
      <c r="A2108">
        <v>6480189</v>
      </c>
      <c r="B2108" t="s">
        <v>2147</v>
      </c>
      <c r="C2108" t="str">
        <f>"9783030680411"</f>
        <v>9783030680411</v>
      </c>
      <c r="D2108" t="str">
        <f>"9783030680428"</f>
        <v>9783030680428</v>
      </c>
      <c r="E2108" t="s">
        <v>756</v>
      </c>
      <c r="F2108" s="1">
        <v>44243</v>
      </c>
    </row>
    <row r="2109" spans="1:6" x14ac:dyDescent="0.25">
      <c r="A2109">
        <v>6483075</v>
      </c>
      <c r="B2109" t="s">
        <v>2148</v>
      </c>
      <c r="C2109" t="str">
        <f>"9783030644918"</f>
        <v>9783030644918</v>
      </c>
      <c r="D2109" t="str">
        <f>"9783030644925"</f>
        <v>9783030644925</v>
      </c>
      <c r="E2109" t="s">
        <v>756</v>
      </c>
      <c r="F2109" s="1">
        <v>44247</v>
      </c>
    </row>
    <row r="2110" spans="1:6" x14ac:dyDescent="0.25">
      <c r="A2110">
        <v>6484553</v>
      </c>
      <c r="B2110" t="s">
        <v>2149</v>
      </c>
      <c r="C2110" t="str">
        <f>""</f>
        <v/>
      </c>
      <c r="D2110" t="str">
        <f>"9789179297077"</f>
        <v>9789179297077</v>
      </c>
      <c r="E2110" t="s">
        <v>1268</v>
      </c>
      <c r="F2110" s="1">
        <v>44245</v>
      </c>
    </row>
    <row r="2111" spans="1:6" x14ac:dyDescent="0.25">
      <c r="A2111">
        <v>6484554</v>
      </c>
      <c r="B2111" t="s">
        <v>2150</v>
      </c>
      <c r="C2111" t="str">
        <f>""</f>
        <v/>
      </c>
      <c r="D2111" t="str">
        <f>"9789179297459"</f>
        <v>9789179297459</v>
      </c>
      <c r="E2111" t="s">
        <v>1268</v>
      </c>
      <c r="F2111" s="1">
        <v>44244</v>
      </c>
    </row>
    <row r="2112" spans="1:6" x14ac:dyDescent="0.25">
      <c r="A2112">
        <v>6484555</v>
      </c>
      <c r="B2112" t="s">
        <v>2151</v>
      </c>
      <c r="C2112" t="str">
        <f>""</f>
        <v/>
      </c>
      <c r="D2112" t="str">
        <f>"9789179296940"</f>
        <v>9789179296940</v>
      </c>
      <c r="E2112" t="s">
        <v>1268</v>
      </c>
      <c r="F2112" s="1">
        <v>44242</v>
      </c>
    </row>
    <row r="2113" spans="1:6" x14ac:dyDescent="0.25">
      <c r="A2113">
        <v>6484616</v>
      </c>
      <c r="B2113" t="s">
        <v>2152</v>
      </c>
      <c r="C2113" t="str">
        <f>"9783658330187"</f>
        <v>9783658330187</v>
      </c>
      <c r="D2113" t="str">
        <f>"9783658330194"</f>
        <v>9783658330194</v>
      </c>
      <c r="E2113" t="s">
        <v>1391</v>
      </c>
      <c r="F2113" s="1">
        <v>44286</v>
      </c>
    </row>
    <row r="2114" spans="1:6" x14ac:dyDescent="0.25">
      <c r="A2114">
        <v>6489591</v>
      </c>
      <c r="B2114" t="s">
        <v>2153</v>
      </c>
      <c r="C2114" t="str">
        <f>"9781800641082"</f>
        <v>9781800641082</v>
      </c>
      <c r="D2114" t="str">
        <f>"9781800641099"</f>
        <v>9781800641099</v>
      </c>
      <c r="E2114" t="s">
        <v>580</v>
      </c>
      <c r="F2114" s="1">
        <v>44228</v>
      </c>
    </row>
    <row r="2115" spans="1:6" x14ac:dyDescent="0.25">
      <c r="A2115">
        <v>6491804</v>
      </c>
      <c r="B2115" t="s">
        <v>2154</v>
      </c>
      <c r="C2115" t="str">
        <f>"9783030609139"</f>
        <v>9783030609139</v>
      </c>
      <c r="D2115" t="str">
        <f>"9783030609146"</f>
        <v>9783030609146</v>
      </c>
      <c r="E2115" t="s">
        <v>756</v>
      </c>
      <c r="F2115" s="1">
        <v>44251</v>
      </c>
    </row>
    <row r="2116" spans="1:6" x14ac:dyDescent="0.25">
      <c r="A2116">
        <v>6499940</v>
      </c>
      <c r="B2116" t="s">
        <v>2155</v>
      </c>
      <c r="C2116" t="str">
        <f>"9781438482897"</f>
        <v>9781438482897</v>
      </c>
      <c r="D2116" t="str">
        <f>"9781438482903"</f>
        <v>9781438482903</v>
      </c>
      <c r="E2116" t="s">
        <v>684</v>
      </c>
      <c r="F2116" s="1">
        <v>44256</v>
      </c>
    </row>
    <row r="2117" spans="1:6" x14ac:dyDescent="0.25">
      <c r="A2117">
        <v>6501120</v>
      </c>
      <c r="B2117" t="s">
        <v>2156</v>
      </c>
      <c r="C2117" t="str">
        <f>""</f>
        <v/>
      </c>
      <c r="D2117" t="str">
        <f>"9789179296872"</f>
        <v>9789179296872</v>
      </c>
      <c r="E2117" t="s">
        <v>1268</v>
      </c>
      <c r="F2117" s="1">
        <v>44250</v>
      </c>
    </row>
    <row r="2118" spans="1:6" x14ac:dyDescent="0.25">
      <c r="A2118">
        <v>6501121</v>
      </c>
      <c r="B2118" t="s">
        <v>2157</v>
      </c>
      <c r="C2118" t="str">
        <f>""</f>
        <v/>
      </c>
      <c r="D2118" t="str">
        <f>"9789179297107"</f>
        <v>9789179297107</v>
      </c>
      <c r="E2118" t="s">
        <v>1268</v>
      </c>
      <c r="F2118" s="1">
        <v>44253</v>
      </c>
    </row>
    <row r="2119" spans="1:6" x14ac:dyDescent="0.25">
      <c r="A2119">
        <v>6501122</v>
      </c>
      <c r="B2119" t="s">
        <v>2158</v>
      </c>
      <c r="C2119" t="str">
        <f>""</f>
        <v/>
      </c>
      <c r="D2119" t="str">
        <f>"9789179297060"</f>
        <v>9789179297060</v>
      </c>
      <c r="E2119" t="s">
        <v>1268</v>
      </c>
      <c r="F2119" s="1">
        <v>44249</v>
      </c>
    </row>
    <row r="2120" spans="1:6" x14ac:dyDescent="0.25">
      <c r="A2120">
        <v>6501123</v>
      </c>
      <c r="B2120" t="s">
        <v>2159</v>
      </c>
      <c r="C2120" t="str">
        <f>""</f>
        <v/>
      </c>
      <c r="D2120" t="str">
        <f>"9789179296896"</f>
        <v>9789179296896</v>
      </c>
      <c r="E2120" t="s">
        <v>1268</v>
      </c>
      <c r="F2120" s="1">
        <v>44250</v>
      </c>
    </row>
    <row r="2121" spans="1:6" x14ac:dyDescent="0.25">
      <c r="A2121">
        <v>6501383</v>
      </c>
      <c r="B2121" t="s">
        <v>2160</v>
      </c>
      <c r="C2121" t="str">
        <f>"9783030604059"</f>
        <v>9783030604059</v>
      </c>
      <c r="D2121" t="str">
        <f>"9783030604066"</f>
        <v>9783030604066</v>
      </c>
      <c r="E2121" t="s">
        <v>756</v>
      </c>
      <c r="F2121" s="1">
        <v>44254</v>
      </c>
    </row>
    <row r="2122" spans="1:6" x14ac:dyDescent="0.25">
      <c r="A2122">
        <v>6508324</v>
      </c>
      <c r="B2122" t="s">
        <v>2161</v>
      </c>
      <c r="C2122" t="str">
        <f>"9781800640245"</f>
        <v>9781800640245</v>
      </c>
      <c r="D2122" t="str">
        <f>"9781800640252"</f>
        <v>9781800640252</v>
      </c>
      <c r="E2122" t="s">
        <v>580</v>
      </c>
      <c r="F2122" s="1">
        <v>44255</v>
      </c>
    </row>
    <row r="2123" spans="1:6" x14ac:dyDescent="0.25">
      <c r="A2123">
        <v>6508426</v>
      </c>
      <c r="B2123" t="s">
        <v>2162</v>
      </c>
      <c r="C2123" t="str">
        <f>"9789813363410"</f>
        <v>9789813363410</v>
      </c>
      <c r="D2123" t="str">
        <f>"9789813363427"</f>
        <v>9789813363427</v>
      </c>
      <c r="E2123" t="s">
        <v>1177</v>
      </c>
      <c r="F2123" s="1">
        <v>44251</v>
      </c>
    </row>
    <row r="2124" spans="1:6" x14ac:dyDescent="0.25">
      <c r="A2124">
        <v>6509881</v>
      </c>
      <c r="B2124" t="s">
        <v>2163</v>
      </c>
      <c r="C2124" t="str">
        <f>"9783662622148"</f>
        <v>9783662622148</v>
      </c>
      <c r="D2124" t="str">
        <f>"9783662622155"</f>
        <v>9783662622155</v>
      </c>
      <c r="E2124" t="s">
        <v>1416</v>
      </c>
      <c r="F2124" s="1">
        <v>44254</v>
      </c>
    </row>
    <row r="2125" spans="1:6" x14ac:dyDescent="0.25">
      <c r="A2125">
        <v>6509883</v>
      </c>
      <c r="B2125" t="s">
        <v>2164</v>
      </c>
      <c r="C2125" t="str">
        <f>"9783030624750"</f>
        <v>9783030624750</v>
      </c>
      <c r="D2125" t="str">
        <f>"9783030624767"</f>
        <v>9783030624767</v>
      </c>
      <c r="E2125" t="s">
        <v>756</v>
      </c>
      <c r="F2125" s="1">
        <v>44254</v>
      </c>
    </row>
    <row r="2126" spans="1:6" x14ac:dyDescent="0.25">
      <c r="A2126">
        <v>6509884</v>
      </c>
      <c r="B2126" t="s">
        <v>2165</v>
      </c>
      <c r="C2126" t="str">
        <f>"9783030657703"</f>
        <v>9783030657703</v>
      </c>
      <c r="D2126" t="str">
        <f>"9783030657710"</f>
        <v>9783030657710</v>
      </c>
      <c r="E2126" t="s">
        <v>756</v>
      </c>
      <c r="F2126" s="1">
        <v>44254</v>
      </c>
    </row>
    <row r="2127" spans="1:6" x14ac:dyDescent="0.25">
      <c r="A2127">
        <v>6509886</v>
      </c>
      <c r="B2127" t="s">
        <v>2166</v>
      </c>
      <c r="C2127" t="str">
        <f>"9783030667870"</f>
        <v>9783030667870</v>
      </c>
      <c r="D2127" t="str">
        <f>"9783030667887"</f>
        <v>9783030667887</v>
      </c>
      <c r="E2127" t="s">
        <v>756</v>
      </c>
      <c r="F2127" s="1">
        <v>44254</v>
      </c>
    </row>
    <row r="2128" spans="1:6" x14ac:dyDescent="0.25">
      <c r="A2128">
        <v>6511344</v>
      </c>
      <c r="B2128" t="s">
        <v>2167</v>
      </c>
      <c r="C2128" t="str">
        <f>"9781438483290"</f>
        <v>9781438483290</v>
      </c>
      <c r="D2128" t="str">
        <f>"9781438483306"</f>
        <v>9781438483306</v>
      </c>
      <c r="E2128" t="s">
        <v>684</v>
      </c>
      <c r="F2128" s="1">
        <v>44287</v>
      </c>
    </row>
    <row r="2129" spans="1:6" x14ac:dyDescent="0.25">
      <c r="A2129">
        <v>6511378</v>
      </c>
      <c r="B2129" t="s">
        <v>2168</v>
      </c>
      <c r="C2129" t="str">
        <f>"9783030636920"</f>
        <v>9783030636920</v>
      </c>
      <c r="D2129" t="str">
        <f>"9783030636937"</f>
        <v>9783030636937</v>
      </c>
      <c r="E2129" t="s">
        <v>756</v>
      </c>
      <c r="F2129" s="1">
        <v>44261</v>
      </c>
    </row>
    <row r="2130" spans="1:6" x14ac:dyDescent="0.25">
      <c r="A2130">
        <v>6511411</v>
      </c>
      <c r="B2130" t="s">
        <v>2169</v>
      </c>
      <c r="C2130" t="str">
        <f>"9783030589158"</f>
        <v>9783030589158</v>
      </c>
      <c r="D2130" t="str">
        <f>"9783030589165"</f>
        <v>9783030589165</v>
      </c>
      <c r="E2130" t="s">
        <v>756</v>
      </c>
      <c r="F2130" s="1">
        <v>44259</v>
      </c>
    </row>
    <row r="2131" spans="1:6" x14ac:dyDescent="0.25">
      <c r="A2131">
        <v>6511461</v>
      </c>
      <c r="B2131" t="s">
        <v>2170</v>
      </c>
      <c r="C2131" t="str">
        <f>"9783658326005"</f>
        <v>9783658326005</v>
      </c>
      <c r="D2131" t="str">
        <f>"9783658326012"</f>
        <v>9783658326012</v>
      </c>
      <c r="E2131" t="s">
        <v>1391</v>
      </c>
      <c r="F2131" s="1">
        <v>44261</v>
      </c>
    </row>
    <row r="2132" spans="1:6" x14ac:dyDescent="0.25">
      <c r="A2132">
        <v>6511466</v>
      </c>
      <c r="B2132" t="s">
        <v>2171</v>
      </c>
      <c r="C2132" t="str">
        <f>"9783030664015"</f>
        <v>9783030664015</v>
      </c>
      <c r="D2132" t="str">
        <f>"9783030664022"</f>
        <v>9783030664022</v>
      </c>
      <c r="E2132" t="s">
        <v>756</v>
      </c>
      <c r="F2132" s="1">
        <v>44261</v>
      </c>
    </row>
    <row r="2133" spans="1:6" x14ac:dyDescent="0.25">
      <c r="A2133">
        <v>6511500</v>
      </c>
      <c r="B2133" t="s">
        <v>2172</v>
      </c>
      <c r="C2133" t="str">
        <f>"9789813367050"</f>
        <v>9789813367050</v>
      </c>
      <c r="D2133" t="str">
        <f>"9789813367067"</f>
        <v>9789813367067</v>
      </c>
      <c r="E2133" t="s">
        <v>1177</v>
      </c>
      <c r="F2133" s="1">
        <v>44258</v>
      </c>
    </row>
    <row r="2134" spans="1:6" x14ac:dyDescent="0.25">
      <c r="A2134">
        <v>6511547</v>
      </c>
      <c r="B2134" t="s">
        <v>2173</v>
      </c>
      <c r="C2134" t="str">
        <f>"9783658323226"</f>
        <v>9783658323226</v>
      </c>
      <c r="D2134" t="str">
        <f>"9783658323233"</f>
        <v>9783658323233</v>
      </c>
      <c r="E2134" t="s">
        <v>1391</v>
      </c>
      <c r="F2134" s="1">
        <v>44261</v>
      </c>
    </row>
    <row r="2135" spans="1:6" x14ac:dyDescent="0.25">
      <c r="A2135">
        <v>6511553</v>
      </c>
      <c r="B2135" t="s">
        <v>2174</v>
      </c>
      <c r="C2135" t="str">
        <f>"9783658329051"</f>
        <v>9783658329051</v>
      </c>
      <c r="D2135" t="str">
        <f>"9783658329068"</f>
        <v>9783658329068</v>
      </c>
      <c r="E2135" t="s">
        <v>1391</v>
      </c>
      <c r="F2135" s="1">
        <v>44261</v>
      </c>
    </row>
    <row r="2136" spans="1:6" x14ac:dyDescent="0.25">
      <c r="A2136">
        <v>6511582</v>
      </c>
      <c r="B2136" t="s">
        <v>2175</v>
      </c>
      <c r="C2136" t="str">
        <f>"9789811593345"</f>
        <v>9789811593345</v>
      </c>
      <c r="D2136" t="str">
        <f>"9789811593352"</f>
        <v>9789811593352</v>
      </c>
      <c r="E2136" t="s">
        <v>1177</v>
      </c>
      <c r="F2136" s="1">
        <v>44261</v>
      </c>
    </row>
    <row r="2137" spans="1:6" x14ac:dyDescent="0.25">
      <c r="A2137">
        <v>6513467</v>
      </c>
      <c r="B2137" t="s">
        <v>2176</v>
      </c>
      <c r="C2137" t="str">
        <f>"9783030527372"</f>
        <v>9783030527372</v>
      </c>
      <c r="D2137" t="str">
        <f>"9783030527389"</f>
        <v>9783030527389</v>
      </c>
      <c r="E2137" t="s">
        <v>756</v>
      </c>
      <c r="F2137" s="1">
        <v>44148</v>
      </c>
    </row>
    <row r="2138" spans="1:6" x14ac:dyDescent="0.25">
      <c r="A2138">
        <v>6515569</v>
      </c>
      <c r="B2138" t="s">
        <v>2177</v>
      </c>
      <c r="C2138" t="str">
        <f>"9783658186708"</f>
        <v>9783658186708</v>
      </c>
      <c r="D2138" t="str">
        <f>"9783658186715"</f>
        <v>9783658186715</v>
      </c>
      <c r="E2138" t="s">
        <v>1391</v>
      </c>
      <c r="F2138" s="1">
        <v>44267</v>
      </c>
    </row>
    <row r="2139" spans="1:6" x14ac:dyDescent="0.25">
      <c r="A2139">
        <v>6515574</v>
      </c>
      <c r="B2139" t="s">
        <v>2178</v>
      </c>
      <c r="C2139" t="str">
        <f>"9783030589479"</f>
        <v>9783030589479</v>
      </c>
      <c r="D2139" t="str">
        <f>"9783030589486"</f>
        <v>9783030589486</v>
      </c>
      <c r="E2139" t="s">
        <v>756</v>
      </c>
      <c r="F2139" s="1">
        <v>44267</v>
      </c>
    </row>
    <row r="2140" spans="1:6" x14ac:dyDescent="0.25">
      <c r="A2140">
        <v>6515583</v>
      </c>
      <c r="B2140" t="s">
        <v>2179</v>
      </c>
      <c r="C2140" t="str">
        <f>"9783030632762"</f>
        <v>9783030632762</v>
      </c>
      <c r="D2140" t="str">
        <f>"9783030632779"</f>
        <v>9783030632779</v>
      </c>
      <c r="E2140" t="s">
        <v>756</v>
      </c>
      <c r="F2140" s="1">
        <v>44267</v>
      </c>
    </row>
    <row r="2141" spans="1:6" x14ac:dyDescent="0.25">
      <c r="A2141">
        <v>6515814</v>
      </c>
      <c r="B2141" t="s">
        <v>2180</v>
      </c>
      <c r="C2141" t="str">
        <f>"9783030631345"</f>
        <v>9783030631345</v>
      </c>
      <c r="D2141" t="str">
        <f>"9783030631352"</f>
        <v>9783030631352</v>
      </c>
      <c r="E2141" t="s">
        <v>756</v>
      </c>
      <c r="F2141" s="1">
        <v>44267</v>
      </c>
    </row>
    <row r="2142" spans="1:6" x14ac:dyDescent="0.25">
      <c r="A2142">
        <v>6516155</v>
      </c>
      <c r="B2142" t="s">
        <v>2181</v>
      </c>
      <c r="C2142" t="str">
        <f>"9783658328856"</f>
        <v>9783658328856</v>
      </c>
      <c r="D2142" t="str">
        <f>"9783658328863"</f>
        <v>9783658328863</v>
      </c>
      <c r="E2142" t="s">
        <v>1391</v>
      </c>
      <c r="F2142" s="1">
        <v>44267</v>
      </c>
    </row>
    <row r="2143" spans="1:6" x14ac:dyDescent="0.25">
      <c r="A2143">
        <v>6518383</v>
      </c>
      <c r="B2143" t="s">
        <v>2182</v>
      </c>
      <c r="C2143" t="str">
        <f>""</f>
        <v/>
      </c>
      <c r="D2143" t="str">
        <f>"9789179296780"</f>
        <v>9789179296780</v>
      </c>
      <c r="E2143" t="s">
        <v>1268</v>
      </c>
      <c r="F2143" s="1">
        <v>44265</v>
      </c>
    </row>
    <row r="2144" spans="1:6" x14ac:dyDescent="0.25">
      <c r="A2144">
        <v>6518384</v>
      </c>
      <c r="B2144" t="s">
        <v>2183</v>
      </c>
      <c r="C2144" t="str">
        <f>""</f>
        <v/>
      </c>
      <c r="D2144" t="str">
        <f>"9789179296810"</f>
        <v>9789179296810</v>
      </c>
      <c r="E2144" t="s">
        <v>1268</v>
      </c>
      <c r="F2144" s="1">
        <v>44264</v>
      </c>
    </row>
    <row r="2145" spans="1:6" x14ac:dyDescent="0.25">
      <c r="A2145">
        <v>6520824</v>
      </c>
      <c r="B2145" t="s">
        <v>2184</v>
      </c>
      <c r="C2145" t="str">
        <f>"9783030723071"</f>
        <v>9783030723071</v>
      </c>
      <c r="D2145" t="str">
        <f>"9783030723088"</f>
        <v>9783030723088</v>
      </c>
      <c r="E2145" t="s">
        <v>756</v>
      </c>
      <c r="F2145" s="1">
        <v>44271</v>
      </c>
    </row>
    <row r="2146" spans="1:6" x14ac:dyDescent="0.25">
      <c r="A2146">
        <v>6522084</v>
      </c>
      <c r="B2146" t="s">
        <v>2185</v>
      </c>
      <c r="C2146" t="str">
        <f>"9783030567941"</f>
        <v>9783030567941</v>
      </c>
      <c r="D2146" t="str">
        <f>"9783030567958"</f>
        <v>9783030567958</v>
      </c>
      <c r="E2146" t="s">
        <v>756</v>
      </c>
      <c r="F2146" s="1">
        <v>44273</v>
      </c>
    </row>
    <row r="2147" spans="1:6" x14ac:dyDescent="0.25">
      <c r="A2147">
        <v>6522091</v>
      </c>
      <c r="B2147" t="s">
        <v>2186</v>
      </c>
      <c r="C2147" t="str">
        <f>"9783030699772"</f>
        <v>9783030699772</v>
      </c>
      <c r="D2147" t="str">
        <f>"9783030699789"</f>
        <v>9783030699789</v>
      </c>
      <c r="E2147" t="s">
        <v>756</v>
      </c>
      <c r="F2147" s="1">
        <v>44273</v>
      </c>
    </row>
    <row r="2148" spans="1:6" x14ac:dyDescent="0.25">
      <c r="A2148">
        <v>6522108</v>
      </c>
      <c r="B2148" t="s">
        <v>2187</v>
      </c>
      <c r="C2148" t="str">
        <f>"9781800640726"</f>
        <v>9781800640726</v>
      </c>
      <c r="D2148" t="str">
        <f>"9781800640733"</f>
        <v>9781800640733</v>
      </c>
      <c r="E2148" t="s">
        <v>580</v>
      </c>
      <c r="F2148" s="1">
        <v>44227</v>
      </c>
    </row>
    <row r="2149" spans="1:6" x14ac:dyDescent="0.25">
      <c r="A2149">
        <v>6522109</v>
      </c>
      <c r="B2149" t="s">
        <v>2188</v>
      </c>
      <c r="C2149" t="str">
        <f>"9781800640603"</f>
        <v>9781800640603</v>
      </c>
      <c r="D2149" t="str">
        <f>"9781800640610"</f>
        <v>9781800640610</v>
      </c>
      <c r="E2149" t="s">
        <v>580</v>
      </c>
      <c r="F2149" s="1">
        <v>44244</v>
      </c>
    </row>
    <row r="2150" spans="1:6" x14ac:dyDescent="0.25">
      <c r="A2150">
        <v>6523259</v>
      </c>
      <c r="B2150" t="s">
        <v>2189</v>
      </c>
      <c r="C2150" t="str">
        <f>"9783030720155"</f>
        <v>9783030720155</v>
      </c>
      <c r="D2150" t="str">
        <f>"9783030720162"</f>
        <v>9783030720162</v>
      </c>
      <c r="E2150" t="s">
        <v>756</v>
      </c>
      <c r="F2150" s="1">
        <v>44275</v>
      </c>
    </row>
    <row r="2151" spans="1:6" x14ac:dyDescent="0.25">
      <c r="A2151">
        <v>6523263</v>
      </c>
      <c r="B2151" t="s">
        <v>2190</v>
      </c>
      <c r="C2151" t="str">
        <f>"9783030656164"</f>
        <v>9783030656164</v>
      </c>
      <c r="D2151" t="str">
        <f>"9783030656171"</f>
        <v>9783030656171</v>
      </c>
      <c r="E2151" t="s">
        <v>756</v>
      </c>
      <c r="F2151" s="1">
        <v>44275</v>
      </c>
    </row>
    <row r="2152" spans="1:6" x14ac:dyDescent="0.25">
      <c r="A2152">
        <v>6523267</v>
      </c>
      <c r="B2152" t="s">
        <v>2191</v>
      </c>
      <c r="C2152" t="str">
        <f>"9783030677114"</f>
        <v>9783030677114</v>
      </c>
      <c r="D2152" t="str">
        <f>"9783030677121"</f>
        <v>9783030677121</v>
      </c>
      <c r="E2152" t="s">
        <v>756</v>
      </c>
      <c r="F2152" s="1">
        <v>44275</v>
      </c>
    </row>
    <row r="2153" spans="1:6" x14ac:dyDescent="0.25">
      <c r="A2153">
        <v>6523277</v>
      </c>
      <c r="B2153" t="s">
        <v>2192</v>
      </c>
      <c r="C2153" t="str">
        <f>"9783030714994"</f>
        <v>9783030714994</v>
      </c>
      <c r="D2153" t="str">
        <f>"9783030715007"</f>
        <v>9783030715007</v>
      </c>
      <c r="E2153" t="s">
        <v>756</v>
      </c>
      <c r="F2153" s="1">
        <v>44275</v>
      </c>
    </row>
    <row r="2154" spans="1:6" x14ac:dyDescent="0.25">
      <c r="A2154">
        <v>6523281</v>
      </c>
      <c r="B2154" t="s">
        <v>2193</v>
      </c>
      <c r="C2154" t="str">
        <f>"9783658321581"</f>
        <v>9783658321581</v>
      </c>
      <c r="D2154" t="str">
        <f>"9783658321598"</f>
        <v>9783658321598</v>
      </c>
      <c r="E2154" t="s">
        <v>1391</v>
      </c>
      <c r="F2154" s="1">
        <v>44275</v>
      </c>
    </row>
    <row r="2155" spans="1:6" x14ac:dyDescent="0.25">
      <c r="A2155">
        <v>6523289</v>
      </c>
      <c r="B2155" t="s">
        <v>2194</v>
      </c>
      <c r="C2155" t="str">
        <f>"9783658314552"</f>
        <v>9783658314552</v>
      </c>
      <c r="D2155" t="str">
        <f>"9783658314569"</f>
        <v>9783658314569</v>
      </c>
      <c r="E2155" t="s">
        <v>1391</v>
      </c>
      <c r="F2155" s="1">
        <v>44275</v>
      </c>
    </row>
    <row r="2156" spans="1:6" x14ac:dyDescent="0.25">
      <c r="A2156">
        <v>6523332</v>
      </c>
      <c r="B2156" t="s">
        <v>2195</v>
      </c>
      <c r="C2156" t="str">
        <f>""</f>
        <v/>
      </c>
      <c r="D2156" t="str">
        <f>"9789179296773"</f>
        <v>9789179296773</v>
      </c>
      <c r="E2156" t="s">
        <v>1268</v>
      </c>
      <c r="F2156" s="1">
        <v>44270</v>
      </c>
    </row>
    <row r="2157" spans="1:6" x14ac:dyDescent="0.25">
      <c r="A2157">
        <v>6523333</v>
      </c>
      <c r="B2157" t="s">
        <v>2196</v>
      </c>
      <c r="C2157" t="str">
        <f>""</f>
        <v/>
      </c>
      <c r="D2157" t="str">
        <f>"9789179296971"</f>
        <v>9789179296971</v>
      </c>
      <c r="E2157" t="s">
        <v>1268</v>
      </c>
      <c r="F2157" s="1">
        <v>44251</v>
      </c>
    </row>
    <row r="2158" spans="1:6" x14ac:dyDescent="0.25">
      <c r="A2158">
        <v>6523352</v>
      </c>
      <c r="B2158" t="s">
        <v>2197</v>
      </c>
      <c r="C2158" t="str">
        <f>"9783030447656"</f>
        <v>9783030447656</v>
      </c>
      <c r="D2158" t="str">
        <f>"9783030447663"</f>
        <v>9783030447663</v>
      </c>
      <c r="E2158" t="s">
        <v>756</v>
      </c>
      <c r="F2158" s="1">
        <v>44173</v>
      </c>
    </row>
    <row r="2159" spans="1:6" x14ac:dyDescent="0.25">
      <c r="A2159">
        <v>6523361</v>
      </c>
      <c r="B2159" t="s">
        <v>2198</v>
      </c>
      <c r="C2159" t="str">
        <f>"9783030660727"</f>
        <v>9783030660727</v>
      </c>
      <c r="D2159" t="str">
        <f>"9783030660734"</f>
        <v>9783030660734</v>
      </c>
      <c r="E2159" t="s">
        <v>756</v>
      </c>
      <c r="F2159" s="1">
        <v>44275</v>
      </c>
    </row>
    <row r="2160" spans="1:6" x14ac:dyDescent="0.25">
      <c r="A2160">
        <v>6523364</v>
      </c>
      <c r="B2160" t="s">
        <v>2199</v>
      </c>
      <c r="C2160" t="str">
        <f>"9783030662615"</f>
        <v>9783030662615</v>
      </c>
      <c r="D2160" t="str">
        <f>"9783030662622"</f>
        <v>9783030662622</v>
      </c>
      <c r="E2160" t="s">
        <v>756</v>
      </c>
      <c r="F2160" s="1">
        <v>44275</v>
      </c>
    </row>
    <row r="2161" spans="1:6" x14ac:dyDescent="0.25">
      <c r="A2161">
        <v>6523365</v>
      </c>
      <c r="B2161" t="s">
        <v>2200</v>
      </c>
      <c r="C2161" t="str">
        <f>"9783030653545"</f>
        <v>9783030653545</v>
      </c>
      <c r="D2161" t="str">
        <f>"9783030653552"</f>
        <v>9783030653552</v>
      </c>
      <c r="E2161" t="s">
        <v>756</v>
      </c>
      <c r="F2161" s="1">
        <v>44275</v>
      </c>
    </row>
    <row r="2162" spans="1:6" x14ac:dyDescent="0.25">
      <c r="A2162">
        <v>6523369</v>
      </c>
      <c r="B2162" t="s">
        <v>2201</v>
      </c>
      <c r="C2162" t="str">
        <f>"9789811603433"</f>
        <v>9789811603433</v>
      </c>
      <c r="D2162" t="str">
        <f>"9789811603440"</f>
        <v>9789811603440</v>
      </c>
      <c r="E2162" t="s">
        <v>1177</v>
      </c>
      <c r="F2162" s="1">
        <v>44275</v>
      </c>
    </row>
    <row r="2163" spans="1:6" x14ac:dyDescent="0.25">
      <c r="A2163">
        <v>6523370</v>
      </c>
      <c r="B2163" t="s">
        <v>2202</v>
      </c>
      <c r="C2163" t="str">
        <f>"9783658331382"</f>
        <v>9783658331382</v>
      </c>
      <c r="D2163" t="str">
        <f>"9783658331399"</f>
        <v>9783658331399</v>
      </c>
      <c r="E2163" t="s">
        <v>1391</v>
      </c>
      <c r="F2163" s="1">
        <v>44275</v>
      </c>
    </row>
    <row r="2164" spans="1:6" x14ac:dyDescent="0.25">
      <c r="A2164">
        <v>6523381</v>
      </c>
      <c r="B2164" t="s">
        <v>2203</v>
      </c>
      <c r="C2164" t="str">
        <f>"9789811578649"</f>
        <v>9789811578649</v>
      </c>
      <c r="D2164" t="str">
        <f>"9789811578656"</f>
        <v>9789811578656</v>
      </c>
      <c r="E2164" t="s">
        <v>1177</v>
      </c>
      <c r="F2164" s="1">
        <v>44138</v>
      </c>
    </row>
    <row r="2165" spans="1:6" x14ac:dyDescent="0.25">
      <c r="A2165">
        <v>6523389</v>
      </c>
      <c r="B2165" t="s">
        <v>2204</v>
      </c>
      <c r="C2165" t="str">
        <f>"9783030646226"</f>
        <v>9783030646226</v>
      </c>
      <c r="D2165" t="str">
        <f>"9783030646233"</f>
        <v>9783030646233</v>
      </c>
      <c r="E2165" t="s">
        <v>756</v>
      </c>
      <c r="F2165" s="1">
        <v>44275</v>
      </c>
    </row>
    <row r="2166" spans="1:6" x14ac:dyDescent="0.25">
      <c r="A2166">
        <v>6523395</v>
      </c>
      <c r="B2166" t="s">
        <v>2205</v>
      </c>
      <c r="C2166" t="str">
        <f>"9783658330385"</f>
        <v>9783658330385</v>
      </c>
      <c r="D2166" t="str">
        <f>"9783658330392"</f>
        <v>9783658330392</v>
      </c>
      <c r="E2166" t="s">
        <v>1391</v>
      </c>
      <c r="F2166" s="1">
        <v>44275</v>
      </c>
    </row>
    <row r="2167" spans="1:6" x14ac:dyDescent="0.25">
      <c r="A2167">
        <v>6523396</v>
      </c>
      <c r="B2167" t="s">
        <v>2206</v>
      </c>
      <c r="C2167" t="str">
        <f>"9783658332129"</f>
        <v>9783658332129</v>
      </c>
      <c r="D2167" t="str">
        <f>"9783658332136"</f>
        <v>9783658332136</v>
      </c>
      <c r="E2167" t="s">
        <v>1391</v>
      </c>
      <c r="F2167" s="1">
        <v>44275</v>
      </c>
    </row>
    <row r="2168" spans="1:6" x14ac:dyDescent="0.25">
      <c r="A2168">
        <v>6523399</v>
      </c>
      <c r="B2168" t="s">
        <v>2207</v>
      </c>
      <c r="C2168" t="str">
        <f>"9783030685966"</f>
        <v>9783030685966</v>
      </c>
      <c r="D2168" t="str">
        <f>"9783030685973"</f>
        <v>9783030685973</v>
      </c>
      <c r="E2168" t="s">
        <v>756</v>
      </c>
      <c r="F2168" s="1">
        <v>44275</v>
      </c>
    </row>
    <row r="2169" spans="1:6" x14ac:dyDescent="0.25">
      <c r="A2169">
        <v>6524970</v>
      </c>
      <c r="B2169" t="s">
        <v>2208</v>
      </c>
      <c r="C2169" t="str">
        <f>"9783030719944"</f>
        <v>9783030719944</v>
      </c>
      <c r="D2169" t="str">
        <f>"9783030719951"</f>
        <v>9783030719951</v>
      </c>
      <c r="E2169" t="s">
        <v>756</v>
      </c>
      <c r="F2169" s="1">
        <v>44278</v>
      </c>
    </row>
    <row r="2170" spans="1:6" x14ac:dyDescent="0.25">
      <c r="A2170">
        <v>6524978</v>
      </c>
      <c r="B2170" t="s">
        <v>2209</v>
      </c>
      <c r="C2170" t="str">
        <f>"9783030720124"</f>
        <v>9783030720124</v>
      </c>
      <c r="D2170" t="str">
        <f>"9783030720131"</f>
        <v>9783030720131</v>
      </c>
      <c r="E2170" t="s">
        <v>756</v>
      </c>
      <c r="F2170" s="1">
        <v>44278</v>
      </c>
    </row>
    <row r="2171" spans="1:6" x14ac:dyDescent="0.25">
      <c r="A2171">
        <v>6524979</v>
      </c>
      <c r="B2171" t="s">
        <v>2210</v>
      </c>
      <c r="C2171" t="str">
        <f>"9783030617271"</f>
        <v>9783030617271</v>
      </c>
      <c r="D2171" t="str">
        <f>"9783030617288"</f>
        <v>9783030617288</v>
      </c>
      <c r="E2171" t="s">
        <v>756</v>
      </c>
      <c r="F2171" s="1">
        <v>44278</v>
      </c>
    </row>
    <row r="2172" spans="1:6" x14ac:dyDescent="0.25">
      <c r="A2172">
        <v>6524996</v>
      </c>
      <c r="B2172" t="s">
        <v>2211</v>
      </c>
      <c r="C2172" t="str">
        <f>"9783030720186"</f>
        <v>9783030720186</v>
      </c>
      <c r="D2172" t="str">
        <f>"9783030720193"</f>
        <v>9783030720193</v>
      </c>
      <c r="E2172" t="s">
        <v>756</v>
      </c>
      <c r="F2172" s="1">
        <v>44278</v>
      </c>
    </row>
    <row r="2173" spans="1:6" x14ac:dyDescent="0.25">
      <c r="A2173">
        <v>6525003</v>
      </c>
      <c r="B2173" t="s">
        <v>2212</v>
      </c>
      <c r="C2173" t="str">
        <f>"9783030323448"</f>
        <v>9783030323448</v>
      </c>
      <c r="D2173" t="str">
        <f>"9783030323455"</f>
        <v>9783030323455</v>
      </c>
      <c r="E2173" t="s">
        <v>756</v>
      </c>
      <c r="F2173" s="1">
        <v>44012</v>
      </c>
    </row>
    <row r="2174" spans="1:6" x14ac:dyDescent="0.25">
      <c r="A2174">
        <v>6525080</v>
      </c>
      <c r="B2174" t="s">
        <v>2213</v>
      </c>
      <c r="C2174" t="str">
        <f>"9783030616007"</f>
        <v>9783030616007</v>
      </c>
      <c r="D2174" t="str">
        <f>"9783030616014"</f>
        <v>9783030616014</v>
      </c>
      <c r="E2174" t="s">
        <v>756</v>
      </c>
      <c r="F2174" s="1">
        <v>44278</v>
      </c>
    </row>
    <row r="2175" spans="1:6" x14ac:dyDescent="0.25">
      <c r="A2175">
        <v>6525474</v>
      </c>
      <c r="B2175" t="s">
        <v>2214</v>
      </c>
      <c r="C2175" t="str">
        <f>"9783030686697"</f>
        <v>9783030686697</v>
      </c>
      <c r="D2175" t="str">
        <f>"9783030686703"</f>
        <v>9783030686703</v>
      </c>
      <c r="E2175" t="s">
        <v>756</v>
      </c>
      <c r="F2175" s="1">
        <v>44279</v>
      </c>
    </row>
    <row r="2176" spans="1:6" x14ac:dyDescent="0.25">
      <c r="A2176">
        <v>6527531</v>
      </c>
      <c r="B2176" t="s">
        <v>2215</v>
      </c>
      <c r="C2176" t="str">
        <f>"9783030673376"</f>
        <v>9783030673376</v>
      </c>
      <c r="D2176" t="str">
        <f>"9783030673383"</f>
        <v>9783030673383</v>
      </c>
      <c r="E2176" t="s">
        <v>756</v>
      </c>
      <c r="F2176" s="1">
        <v>44281</v>
      </c>
    </row>
    <row r="2177" spans="1:6" x14ac:dyDescent="0.25">
      <c r="A2177">
        <v>6527603</v>
      </c>
      <c r="B2177" t="s">
        <v>2216</v>
      </c>
      <c r="C2177" t="str">
        <f>"9781618115966"</f>
        <v>9781618115966</v>
      </c>
      <c r="D2177" t="str">
        <f>"9781618119087"</f>
        <v>9781618119087</v>
      </c>
      <c r="E2177" t="s">
        <v>514</v>
      </c>
      <c r="F2177" s="1">
        <v>43418</v>
      </c>
    </row>
    <row r="2178" spans="1:6" x14ac:dyDescent="0.25">
      <c r="A2178">
        <v>6527604</v>
      </c>
      <c r="B2178" t="s">
        <v>2217</v>
      </c>
      <c r="C2178" t="str">
        <f>"9781618116161"</f>
        <v>9781618116161</v>
      </c>
      <c r="D2178" t="str">
        <f>"9781618119070"</f>
        <v>9781618119070</v>
      </c>
      <c r="E2178" t="s">
        <v>514</v>
      </c>
      <c r="F2178" s="1">
        <v>43413</v>
      </c>
    </row>
    <row r="2179" spans="1:6" x14ac:dyDescent="0.25">
      <c r="A2179">
        <v>6527605</v>
      </c>
      <c r="B2179" t="s">
        <v>2218</v>
      </c>
      <c r="C2179" t="str">
        <f>"9781618112347"</f>
        <v>9781618112347</v>
      </c>
      <c r="D2179" t="str">
        <f>"9781618116840"</f>
        <v>9781618116840</v>
      </c>
      <c r="E2179" t="s">
        <v>514</v>
      </c>
      <c r="F2179" s="1">
        <v>41183</v>
      </c>
    </row>
    <row r="2180" spans="1:6" x14ac:dyDescent="0.25">
      <c r="A2180">
        <v>6527802</v>
      </c>
      <c r="B2180" t="s">
        <v>2219</v>
      </c>
      <c r="C2180" t="str">
        <f>""</f>
        <v/>
      </c>
      <c r="D2180" t="str">
        <f>"9789179296933"</f>
        <v>9789179296933</v>
      </c>
      <c r="E2180" t="s">
        <v>1268</v>
      </c>
      <c r="F2180" s="1">
        <v>44265</v>
      </c>
    </row>
    <row r="2181" spans="1:6" x14ac:dyDescent="0.25">
      <c r="A2181">
        <v>6527803</v>
      </c>
      <c r="B2181" t="s">
        <v>2220</v>
      </c>
      <c r="C2181" t="str">
        <f>""</f>
        <v/>
      </c>
      <c r="D2181" t="str">
        <f>"9789179296841"</f>
        <v>9789179296841</v>
      </c>
      <c r="E2181" t="s">
        <v>1268</v>
      </c>
      <c r="F2181" s="1">
        <v>44279</v>
      </c>
    </row>
    <row r="2182" spans="1:6" x14ac:dyDescent="0.25">
      <c r="A2182">
        <v>6527804</v>
      </c>
      <c r="B2182" t="s">
        <v>2221</v>
      </c>
      <c r="C2182" t="str">
        <f>""</f>
        <v/>
      </c>
      <c r="D2182" t="str">
        <f>"9789179297190"</f>
        <v>9789179297190</v>
      </c>
      <c r="E2182" t="s">
        <v>1268</v>
      </c>
      <c r="F2182" s="1">
        <v>44278</v>
      </c>
    </row>
    <row r="2183" spans="1:6" x14ac:dyDescent="0.25">
      <c r="A2183">
        <v>6528168</v>
      </c>
      <c r="B2183" t="s">
        <v>2222</v>
      </c>
      <c r="C2183" t="str">
        <f>"9783662627075"</f>
        <v>9783662627075</v>
      </c>
      <c r="D2183" t="str">
        <f>"9783662627082"</f>
        <v>9783662627082</v>
      </c>
      <c r="E2183" t="s">
        <v>1416</v>
      </c>
      <c r="F2183" s="1">
        <v>44286</v>
      </c>
    </row>
    <row r="2184" spans="1:6" x14ac:dyDescent="0.25">
      <c r="A2184">
        <v>6531639</v>
      </c>
      <c r="B2184" t="s">
        <v>2223</v>
      </c>
      <c r="C2184" t="str">
        <f>"9783658332457"</f>
        <v>9783658332457</v>
      </c>
      <c r="D2184" t="str">
        <f>"9783658332464"</f>
        <v>9783658332464</v>
      </c>
      <c r="E2184" t="s">
        <v>1391</v>
      </c>
      <c r="F2184" s="1">
        <v>44286</v>
      </c>
    </row>
    <row r="2185" spans="1:6" x14ac:dyDescent="0.25">
      <c r="A2185">
        <v>6531653</v>
      </c>
      <c r="B2185" t="s">
        <v>2224</v>
      </c>
      <c r="C2185" t="str">
        <f>"9783030645687"</f>
        <v>9783030645687</v>
      </c>
      <c r="D2185" t="str">
        <f>"9783030645694"</f>
        <v>9783030645694</v>
      </c>
      <c r="E2185" t="s">
        <v>756</v>
      </c>
      <c r="F2185" s="1">
        <v>44285</v>
      </c>
    </row>
    <row r="2186" spans="1:6" x14ac:dyDescent="0.25">
      <c r="A2186">
        <v>6531665</v>
      </c>
      <c r="B2186" t="s">
        <v>2225</v>
      </c>
      <c r="C2186" t="str">
        <f>"9789813347120"</f>
        <v>9789813347120</v>
      </c>
      <c r="D2186" t="str">
        <f>"9789813347137"</f>
        <v>9789813347137</v>
      </c>
      <c r="E2186" t="s">
        <v>1177</v>
      </c>
      <c r="F2186" s="1">
        <v>44285</v>
      </c>
    </row>
    <row r="2187" spans="1:6" x14ac:dyDescent="0.25">
      <c r="A2187">
        <v>6531681</v>
      </c>
      <c r="B2187" t="s">
        <v>2226</v>
      </c>
      <c r="C2187" t="str">
        <f>"9783030564162"</f>
        <v>9783030564162</v>
      </c>
      <c r="D2187" t="str">
        <f>"9783030564179"</f>
        <v>9783030564179</v>
      </c>
      <c r="E2187" t="s">
        <v>756</v>
      </c>
      <c r="F2187" s="1">
        <v>44285</v>
      </c>
    </row>
    <row r="2188" spans="1:6" x14ac:dyDescent="0.25">
      <c r="A2188">
        <v>6531698</v>
      </c>
      <c r="B2188" t="s">
        <v>2227</v>
      </c>
      <c r="C2188" t="str">
        <f>"9783030636135"</f>
        <v>9783030636135</v>
      </c>
      <c r="D2188" t="str">
        <f>"9783030636142"</f>
        <v>9783030636142</v>
      </c>
      <c r="E2188" t="s">
        <v>756</v>
      </c>
      <c r="F2188" s="1">
        <v>44282</v>
      </c>
    </row>
    <row r="2189" spans="1:6" x14ac:dyDescent="0.25">
      <c r="A2189">
        <v>6531708</v>
      </c>
      <c r="B2189" t="s">
        <v>2228</v>
      </c>
      <c r="C2189" t="str">
        <f>"9783030671297"</f>
        <v>9783030671297</v>
      </c>
      <c r="D2189" t="str">
        <f>"9783030671303"</f>
        <v>9783030671303</v>
      </c>
      <c r="E2189" t="s">
        <v>756</v>
      </c>
      <c r="F2189" s="1">
        <v>44286</v>
      </c>
    </row>
    <row r="2190" spans="1:6" x14ac:dyDescent="0.25">
      <c r="A2190">
        <v>6531730</v>
      </c>
      <c r="B2190" t="s">
        <v>2229</v>
      </c>
      <c r="C2190" t="str">
        <f>"9783030514051"</f>
        <v>9783030514051</v>
      </c>
      <c r="D2190" t="str">
        <f>"9783030514068"</f>
        <v>9783030514068</v>
      </c>
      <c r="E2190" t="s">
        <v>756</v>
      </c>
      <c r="F2190" s="1">
        <v>44286</v>
      </c>
    </row>
    <row r="2191" spans="1:6" x14ac:dyDescent="0.25">
      <c r="A2191">
        <v>6531807</v>
      </c>
      <c r="B2191" t="s">
        <v>2230</v>
      </c>
      <c r="C2191" t="str">
        <f>"9783030648565"</f>
        <v>9783030648565</v>
      </c>
      <c r="D2191" t="str">
        <f>"9783030648572"</f>
        <v>9783030648572</v>
      </c>
      <c r="E2191" t="s">
        <v>756</v>
      </c>
      <c r="F2191" s="1">
        <v>44285</v>
      </c>
    </row>
    <row r="2192" spans="1:6" x14ac:dyDescent="0.25">
      <c r="A2192">
        <v>6531811</v>
      </c>
      <c r="B2192" t="s">
        <v>2231</v>
      </c>
      <c r="C2192" t="str">
        <f>"9783658330026"</f>
        <v>9783658330026</v>
      </c>
      <c r="D2192" t="str">
        <f>"9783658330033"</f>
        <v>9783658330033</v>
      </c>
      <c r="E2192" t="s">
        <v>1391</v>
      </c>
      <c r="F2192" s="1">
        <v>44281</v>
      </c>
    </row>
    <row r="2193" spans="1:6" x14ac:dyDescent="0.25">
      <c r="A2193">
        <v>6531830</v>
      </c>
      <c r="B2193" t="s">
        <v>2232</v>
      </c>
      <c r="C2193" t="str">
        <f>"9783030666576"</f>
        <v>9783030666576</v>
      </c>
      <c r="D2193" t="str">
        <f>"9783030666583"</f>
        <v>9783030666583</v>
      </c>
      <c r="E2193" t="s">
        <v>756</v>
      </c>
      <c r="F2193" s="1">
        <v>44285</v>
      </c>
    </row>
    <row r="2194" spans="1:6" x14ac:dyDescent="0.25">
      <c r="A2194">
        <v>6531842</v>
      </c>
      <c r="B2194" t="s">
        <v>2233</v>
      </c>
      <c r="C2194" t="str">
        <f>"9783030565022"</f>
        <v>9783030565022</v>
      </c>
      <c r="D2194" t="str">
        <f>"9783030565046"</f>
        <v>9783030565046</v>
      </c>
      <c r="E2194" t="s">
        <v>756</v>
      </c>
      <c r="F2194" s="1">
        <v>44276</v>
      </c>
    </row>
    <row r="2195" spans="1:6" x14ac:dyDescent="0.25">
      <c r="A2195">
        <v>6531848</v>
      </c>
      <c r="B2195" t="s">
        <v>2234</v>
      </c>
      <c r="C2195" t="str">
        <f>"9783030717773"</f>
        <v>9783030717773</v>
      </c>
      <c r="D2195" t="str">
        <f>"9783030717780"</f>
        <v>9783030717780</v>
      </c>
      <c r="E2195" t="s">
        <v>756</v>
      </c>
      <c r="F2195" s="1">
        <v>44282</v>
      </c>
    </row>
    <row r="2196" spans="1:6" x14ac:dyDescent="0.25">
      <c r="A2196">
        <v>6533330</v>
      </c>
      <c r="B2196" t="s">
        <v>2235</v>
      </c>
      <c r="C2196" t="str">
        <f>"9783476057631"</f>
        <v>9783476057631</v>
      </c>
      <c r="D2196" t="str">
        <f>"9783476057648"</f>
        <v>9783476057648</v>
      </c>
      <c r="E2196" t="s">
        <v>1852</v>
      </c>
      <c r="F2196" s="1">
        <v>44288</v>
      </c>
    </row>
    <row r="2197" spans="1:6" x14ac:dyDescent="0.25">
      <c r="A2197">
        <v>6533358</v>
      </c>
      <c r="B2197" t="s">
        <v>2236</v>
      </c>
      <c r="C2197" t="str">
        <f>"9783030619084"</f>
        <v>9783030619084</v>
      </c>
      <c r="D2197" t="str">
        <f>"9783030619091"</f>
        <v>9783030619091</v>
      </c>
      <c r="E2197" t="s">
        <v>756</v>
      </c>
      <c r="F2197" s="1">
        <v>44288</v>
      </c>
    </row>
    <row r="2198" spans="1:6" x14ac:dyDescent="0.25">
      <c r="A2198">
        <v>6533434</v>
      </c>
      <c r="B2198" t="s">
        <v>2237</v>
      </c>
      <c r="C2198" t="str">
        <f>"9783030726317"</f>
        <v>9783030726317</v>
      </c>
      <c r="D2198" t="str">
        <f>"9783030726324"</f>
        <v>9783030726324</v>
      </c>
      <c r="E2198" t="s">
        <v>756</v>
      </c>
      <c r="F2198" s="1">
        <v>44288</v>
      </c>
    </row>
    <row r="2199" spans="1:6" x14ac:dyDescent="0.25">
      <c r="A2199">
        <v>6533746</v>
      </c>
      <c r="B2199" t="s">
        <v>2238</v>
      </c>
      <c r="C2199" t="str">
        <f>"9780472119196"</f>
        <v>9780472119196</v>
      </c>
      <c r="D2199" t="str">
        <f>"9780472900954"</f>
        <v>9780472900954</v>
      </c>
      <c r="E2199" t="s">
        <v>689</v>
      </c>
      <c r="F2199" s="1">
        <v>41669</v>
      </c>
    </row>
    <row r="2200" spans="1:6" x14ac:dyDescent="0.25">
      <c r="A2200">
        <v>6533753</v>
      </c>
      <c r="B2200" t="s">
        <v>2239</v>
      </c>
      <c r="C2200" t="str">
        <f>"9780472119387"</f>
        <v>9780472119387</v>
      </c>
      <c r="D2200" t="str">
        <f>"9780472900930"</f>
        <v>9780472900930</v>
      </c>
      <c r="E2200" t="s">
        <v>689</v>
      </c>
      <c r="F2200" s="1">
        <v>41881</v>
      </c>
    </row>
    <row r="2201" spans="1:6" x14ac:dyDescent="0.25">
      <c r="A2201">
        <v>6533808</v>
      </c>
      <c r="B2201" t="s">
        <v>2240</v>
      </c>
      <c r="C2201" t="str">
        <f>"9780472072446"</f>
        <v>9780472072446</v>
      </c>
      <c r="D2201" t="str">
        <f>"9780472900145"</f>
        <v>9780472900145</v>
      </c>
      <c r="E2201" t="s">
        <v>689</v>
      </c>
      <c r="F2201" s="1">
        <v>42010</v>
      </c>
    </row>
    <row r="2202" spans="1:6" x14ac:dyDescent="0.25">
      <c r="A2202">
        <v>6533960</v>
      </c>
      <c r="B2202" t="s">
        <v>2241</v>
      </c>
      <c r="C2202" t="str">
        <f>""</f>
        <v/>
      </c>
      <c r="D2202" t="str">
        <f>"9789179297411"</f>
        <v>9789179297411</v>
      </c>
      <c r="E2202" t="s">
        <v>1268</v>
      </c>
      <c r="F2202" s="1">
        <v>44285</v>
      </c>
    </row>
    <row r="2203" spans="1:6" x14ac:dyDescent="0.25">
      <c r="A2203">
        <v>6533977</v>
      </c>
      <c r="B2203" t="s">
        <v>2242</v>
      </c>
      <c r="C2203" t="str">
        <f>"9780472072156"</f>
        <v>9780472072156</v>
      </c>
      <c r="D2203" t="str">
        <f>"9780472900213"</f>
        <v>9780472900213</v>
      </c>
      <c r="E2203" t="s">
        <v>689</v>
      </c>
      <c r="F2203" s="1">
        <v>41934</v>
      </c>
    </row>
    <row r="2204" spans="1:6" x14ac:dyDescent="0.25">
      <c r="A2204">
        <v>6533979</v>
      </c>
      <c r="B2204" t="s">
        <v>2243</v>
      </c>
      <c r="C2204" t="str">
        <f>"9780472070923"</f>
        <v>9780472070923</v>
      </c>
      <c r="D2204" t="str">
        <f>"9780472900398"</f>
        <v>9780472900398</v>
      </c>
      <c r="E2204" t="s">
        <v>689</v>
      </c>
      <c r="F2204" s="1">
        <v>40290</v>
      </c>
    </row>
    <row r="2205" spans="1:6" x14ac:dyDescent="0.25">
      <c r="A2205">
        <v>6533983</v>
      </c>
      <c r="B2205" t="s">
        <v>2244</v>
      </c>
      <c r="C2205" t="str">
        <f>"9780472071913"</f>
        <v>9780472071913</v>
      </c>
      <c r="D2205" t="str">
        <f>"9780472900268"</f>
        <v>9780472900268</v>
      </c>
      <c r="E2205" t="s">
        <v>689</v>
      </c>
      <c r="F2205" s="1">
        <v>41443</v>
      </c>
    </row>
    <row r="2206" spans="1:6" x14ac:dyDescent="0.25">
      <c r="A2206">
        <v>6533986</v>
      </c>
      <c r="B2206" t="s">
        <v>2245</v>
      </c>
      <c r="C2206" t="str">
        <f>"9780472070442"</f>
        <v>9780472070442</v>
      </c>
      <c r="D2206" t="str">
        <f>"9780472900473"</f>
        <v>9780472900473</v>
      </c>
      <c r="E2206" t="s">
        <v>689</v>
      </c>
      <c r="F2206" s="1">
        <v>39751</v>
      </c>
    </row>
    <row r="2207" spans="1:6" x14ac:dyDescent="0.25">
      <c r="A2207">
        <v>6533987</v>
      </c>
      <c r="B2207" t="s">
        <v>2246</v>
      </c>
      <c r="C2207" t="str">
        <f>"9780472116713"</f>
        <v>9780472116713</v>
      </c>
      <c r="D2207" t="str">
        <f>"9780472900534"</f>
        <v>9780472900534</v>
      </c>
      <c r="E2207" t="s">
        <v>689</v>
      </c>
      <c r="F2207" s="1">
        <v>39777</v>
      </c>
    </row>
    <row r="2208" spans="1:6" x14ac:dyDescent="0.25">
      <c r="A2208">
        <v>6533988</v>
      </c>
      <c r="B2208" t="s">
        <v>2247</v>
      </c>
      <c r="C2208" t="str">
        <f>"9780883864173"</f>
        <v>9780883864173</v>
      </c>
      <c r="D2208" t="str">
        <f>"9780472902170"</f>
        <v>9780472902170</v>
      </c>
      <c r="E2208" t="s">
        <v>2248</v>
      </c>
      <c r="F2208" s="1">
        <v>27030</v>
      </c>
    </row>
    <row r="2209" spans="1:6" x14ac:dyDescent="0.25">
      <c r="A2209">
        <v>6533998</v>
      </c>
      <c r="B2209" t="s">
        <v>2249</v>
      </c>
      <c r="C2209" t="str">
        <f>"9780892640027"</f>
        <v>9780892640027</v>
      </c>
      <c r="D2209" t="str">
        <f>"9780472902125"</f>
        <v>9780472902125</v>
      </c>
      <c r="E2209" t="s">
        <v>2250</v>
      </c>
      <c r="F2209" s="1">
        <v>29616</v>
      </c>
    </row>
    <row r="2210" spans="1:6" x14ac:dyDescent="0.25">
      <c r="A2210">
        <v>6533999</v>
      </c>
      <c r="B2210" t="s">
        <v>2251</v>
      </c>
      <c r="C2210" t="str">
        <f>"9780892640164"</f>
        <v>9780892640164</v>
      </c>
      <c r="D2210" t="str">
        <f>"9780472902217"</f>
        <v>9780472902217</v>
      </c>
      <c r="E2210" t="s">
        <v>2250</v>
      </c>
      <c r="F2210" s="1">
        <v>29616</v>
      </c>
    </row>
    <row r="2211" spans="1:6" x14ac:dyDescent="0.25">
      <c r="A2211">
        <v>6534003</v>
      </c>
      <c r="B2211" t="s">
        <v>2252</v>
      </c>
      <c r="C2211" t="str">
        <f>"9780892640096"</f>
        <v>9780892640096</v>
      </c>
      <c r="D2211" t="str">
        <f>"9780472902200"</f>
        <v>9780472902200</v>
      </c>
      <c r="E2211" t="s">
        <v>2250</v>
      </c>
      <c r="F2211" s="1">
        <v>29616</v>
      </c>
    </row>
    <row r="2212" spans="1:6" x14ac:dyDescent="0.25">
      <c r="A2212">
        <v>6534004</v>
      </c>
      <c r="B2212" t="s">
        <v>2253</v>
      </c>
      <c r="C2212" t="str">
        <f>"9780472118786"</f>
        <v>9780472118786</v>
      </c>
      <c r="D2212" t="str">
        <f>"9780472900275"</f>
        <v>9780472900275</v>
      </c>
      <c r="E2212" t="s">
        <v>689</v>
      </c>
      <c r="F2212" s="1">
        <v>41376</v>
      </c>
    </row>
    <row r="2213" spans="1:6" x14ac:dyDescent="0.25">
      <c r="A2213">
        <v>6534005</v>
      </c>
      <c r="B2213" t="s">
        <v>2254</v>
      </c>
      <c r="C2213" t="str">
        <f>"9780939512218"</f>
        <v>9780939512218</v>
      </c>
      <c r="D2213" t="str">
        <f>"9780472902064"</f>
        <v>9780472902064</v>
      </c>
      <c r="E2213" t="s">
        <v>2255</v>
      </c>
      <c r="F2213" s="1">
        <v>30682</v>
      </c>
    </row>
    <row r="2214" spans="1:6" x14ac:dyDescent="0.25">
      <c r="A2214">
        <v>6534006</v>
      </c>
      <c r="B2214" t="s">
        <v>2256</v>
      </c>
      <c r="C2214" t="str">
        <f>"9780939512188"</f>
        <v>9780939512188</v>
      </c>
      <c r="D2214" t="str">
        <f>"9780472902019"</f>
        <v>9780472902019</v>
      </c>
      <c r="E2214" t="s">
        <v>2255</v>
      </c>
      <c r="F2214" s="1">
        <v>31048</v>
      </c>
    </row>
    <row r="2215" spans="1:6" x14ac:dyDescent="0.25">
      <c r="A2215">
        <v>6534007</v>
      </c>
      <c r="B2215" t="s">
        <v>2257</v>
      </c>
      <c r="C2215" t="str">
        <f>"9780472070992"</f>
        <v>9780472070992</v>
      </c>
      <c r="D2215" t="str">
        <f>"9780472900404"</f>
        <v>9780472900404</v>
      </c>
      <c r="E2215" t="s">
        <v>689</v>
      </c>
      <c r="F2215" s="1">
        <v>40360</v>
      </c>
    </row>
    <row r="2216" spans="1:6" x14ac:dyDescent="0.25">
      <c r="A2216">
        <v>6534009</v>
      </c>
      <c r="B2216" t="s">
        <v>2258</v>
      </c>
      <c r="C2216" t="str">
        <f>"9780472072385"</f>
        <v>9780472072385</v>
      </c>
      <c r="D2216" t="str">
        <f>"9780472900169"</f>
        <v>9780472900169</v>
      </c>
      <c r="E2216" t="s">
        <v>689</v>
      </c>
      <c r="F2216" s="1">
        <v>42010</v>
      </c>
    </row>
    <row r="2217" spans="1:6" x14ac:dyDescent="0.25">
      <c r="A2217">
        <v>6534012</v>
      </c>
      <c r="B2217" t="s">
        <v>2259</v>
      </c>
      <c r="C2217" t="str">
        <f>"9780472072439"</f>
        <v>9780472072439</v>
      </c>
      <c r="D2217" t="str">
        <f>"9780472900152"</f>
        <v>9780472900152</v>
      </c>
      <c r="E2217" t="s">
        <v>689</v>
      </c>
      <c r="F2217" s="1">
        <v>41995</v>
      </c>
    </row>
    <row r="2218" spans="1:6" x14ac:dyDescent="0.25">
      <c r="A2218">
        <v>6536801</v>
      </c>
      <c r="B2218" t="s">
        <v>2260</v>
      </c>
      <c r="C2218" t="str">
        <f>"9783030465896"</f>
        <v>9783030465896</v>
      </c>
      <c r="D2218" t="str">
        <f>"9783030465902"</f>
        <v>9783030465902</v>
      </c>
      <c r="E2218" t="s">
        <v>756</v>
      </c>
      <c r="F2218" s="1">
        <v>44293</v>
      </c>
    </row>
    <row r="2219" spans="1:6" x14ac:dyDescent="0.25">
      <c r="A2219">
        <v>6536816</v>
      </c>
      <c r="B2219" t="s">
        <v>2261</v>
      </c>
      <c r="C2219" t="str">
        <f>"9783030654382"</f>
        <v>9783030654382</v>
      </c>
      <c r="D2219" t="str">
        <f>"9783030654399"</f>
        <v>9783030654399</v>
      </c>
      <c r="E2219" t="s">
        <v>756</v>
      </c>
      <c r="F2219" s="1">
        <v>44293</v>
      </c>
    </row>
    <row r="2220" spans="1:6" x14ac:dyDescent="0.25">
      <c r="A2220">
        <v>6536817</v>
      </c>
      <c r="B2220" t="s">
        <v>2262</v>
      </c>
      <c r="C2220" t="str">
        <f>"9783658328719"</f>
        <v>9783658328719</v>
      </c>
      <c r="D2220" t="str">
        <f>"9783658328726"</f>
        <v>9783658328726</v>
      </c>
      <c r="E2220" t="s">
        <v>1391</v>
      </c>
      <c r="F2220" s="1">
        <v>44293</v>
      </c>
    </row>
    <row r="2221" spans="1:6" x14ac:dyDescent="0.25">
      <c r="A2221">
        <v>6536818</v>
      </c>
      <c r="B2221" t="s">
        <v>2263</v>
      </c>
      <c r="C2221" t="str">
        <f>"9789811589829"</f>
        <v>9789811589829</v>
      </c>
      <c r="D2221" t="str">
        <f>"9789811589836"</f>
        <v>9789811589836</v>
      </c>
      <c r="E2221" t="s">
        <v>1177</v>
      </c>
      <c r="F2221" s="1">
        <v>44293</v>
      </c>
    </row>
    <row r="2222" spans="1:6" x14ac:dyDescent="0.25">
      <c r="A2222">
        <v>6536820</v>
      </c>
      <c r="B2222" t="s">
        <v>2264</v>
      </c>
      <c r="C2222" t="str">
        <f>"9783030631307"</f>
        <v>9783030631307</v>
      </c>
      <c r="D2222" t="str">
        <f>"9783030631314"</f>
        <v>9783030631314</v>
      </c>
      <c r="E2222" t="s">
        <v>756</v>
      </c>
      <c r="F2222" s="1">
        <v>44293</v>
      </c>
    </row>
    <row r="2223" spans="1:6" x14ac:dyDescent="0.25">
      <c r="A2223">
        <v>6536823</v>
      </c>
      <c r="B2223" t="s">
        <v>2265</v>
      </c>
      <c r="C2223" t="str">
        <f>"9783030677572"</f>
        <v>9783030677572</v>
      </c>
      <c r="D2223" t="str">
        <f>"9783030677589"</f>
        <v>9783030677589</v>
      </c>
      <c r="E2223" t="s">
        <v>756</v>
      </c>
      <c r="F2223" s="1">
        <v>44293</v>
      </c>
    </row>
    <row r="2224" spans="1:6" x14ac:dyDescent="0.25">
      <c r="A2224">
        <v>6543729</v>
      </c>
      <c r="B2224" t="s">
        <v>2266</v>
      </c>
      <c r="C2224" t="str">
        <f>"9783030676148"</f>
        <v>9783030676148</v>
      </c>
      <c r="D2224" t="str">
        <f>"9783030676155"</f>
        <v>9783030676155</v>
      </c>
      <c r="E2224" t="s">
        <v>756</v>
      </c>
      <c r="F2224" s="1">
        <v>44295</v>
      </c>
    </row>
    <row r="2225" spans="1:6" x14ac:dyDescent="0.25">
      <c r="A2225">
        <v>6543744</v>
      </c>
      <c r="B2225" t="s">
        <v>2267</v>
      </c>
      <c r="C2225" t="str">
        <f>"9783030672805"</f>
        <v>9783030672805</v>
      </c>
      <c r="D2225" t="str">
        <f>"9783030672812"</f>
        <v>9783030672812</v>
      </c>
      <c r="E2225" t="s">
        <v>756</v>
      </c>
      <c r="F2225" s="1">
        <v>44295</v>
      </c>
    </row>
    <row r="2226" spans="1:6" x14ac:dyDescent="0.25">
      <c r="A2226">
        <v>6543745</v>
      </c>
      <c r="B2226" t="s">
        <v>2268</v>
      </c>
      <c r="C2226" t="str">
        <f>"9783662623039"</f>
        <v>9783662623039</v>
      </c>
      <c r="D2226" t="str">
        <f>"9783662623046"</f>
        <v>9783662623046</v>
      </c>
      <c r="E2226" t="s">
        <v>1416</v>
      </c>
      <c r="F2226" s="1">
        <v>44295</v>
      </c>
    </row>
    <row r="2227" spans="1:6" x14ac:dyDescent="0.25">
      <c r="A2227">
        <v>6546237</v>
      </c>
      <c r="B2227" t="s">
        <v>2269</v>
      </c>
      <c r="C2227" t="str">
        <f>"9783662633533"</f>
        <v>9783662633533</v>
      </c>
      <c r="D2227" t="str">
        <f>"9783662633540"</f>
        <v>9783662633540</v>
      </c>
      <c r="E2227" t="s">
        <v>1416</v>
      </c>
      <c r="F2227" s="1">
        <v>44296</v>
      </c>
    </row>
    <row r="2228" spans="1:6" x14ac:dyDescent="0.25">
      <c r="A2228">
        <v>6546682</v>
      </c>
      <c r="B2228" t="s">
        <v>2270</v>
      </c>
      <c r="C2228" t="str">
        <f>""</f>
        <v/>
      </c>
      <c r="D2228" t="str">
        <f>"9789179296520"</f>
        <v>9789179296520</v>
      </c>
      <c r="E2228" t="s">
        <v>1268</v>
      </c>
      <c r="F2228" s="1">
        <v>44291</v>
      </c>
    </row>
    <row r="2229" spans="1:6" x14ac:dyDescent="0.25">
      <c r="A2229">
        <v>6546683</v>
      </c>
      <c r="B2229" t="s">
        <v>2271</v>
      </c>
      <c r="C2229" t="str">
        <f>""</f>
        <v/>
      </c>
      <c r="D2229" t="str">
        <f>"9789179296827"</f>
        <v>9789179296827</v>
      </c>
      <c r="E2229" t="s">
        <v>1268</v>
      </c>
      <c r="F2229" s="1">
        <v>44293</v>
      </c>
    </row>
    <row r="2230" spans="1:6" x14ac:dyDescent="0.25">
      <c r="A2230">
        <v>6546684</v>
      </c>
      <c r="B2230" t="s">
        <v>2272</v>
      </c>
      <c r="C2230" t="str">
        <f>""</f>
        <v/>
      </c>
      <c r="D2230" t="str">
        <f>"9789179296599"</f>
        <v>9789179296599</v>
      </c>
      <c r="E2230" t="s">
        <v>1268</v>
      </c>
      <c r="F2230" s="1">
        <v>44292</v>
      </c>
    </row>
    <row r="2231" spans="1:6" x14ac:dyDescent="0.25">
      <c r="A2231">
        <v>6548800</v>
      </c>
      <c r="B2231" t="s">
        <v>2273</v>
      </c>
      <c r="C2231" t="str">
        <f>"9789027208514"</f>
        <v>9789027208514</v>
      </c>
      <c r="D2231" t="str">
        <f>"9789027260079"</f>
        <v>9789027260079</v>
      </c>
      <c r="E2231" t="s">
        <v>413</v>
      </c>
      <c r="F2231" s="1">
        <v>44312</v>
      </c>
    </row>
    <row r="2232" spans="1:6" x14ac:dyDescent="0.25">
      <c r="A2232">
        <v>6550483</v>
      </c>
      <c r="B2232" t="s">
        <v>2274</v>
      </c>
      <c r="C2232" t="str">
        <f>"9783030712808"</f>
        <v>9783030712808</v>
      </c>
      <c r="D2232" t="str">
        <f>"9783030712815"</f>
        <v>9783030712815</v>
      </c>
      <c r="E2232" t="s">
        <v>756</v>
      </c>
      <c r="F2232" s="1">
        <v>44299</v>
      </c>
    </row>
    <row r="2233" spans="1:6" x14ac:dyDescent="0.25">
      <c r="A2233">
        <v>6551435</v>
      </c>
      <c r="B2233" t="s">
        <v>2275</v>
      </c>
      <c r="C2233" t="str">
        <f>"9781800641273"</f>
        <v>9781800641273</v>
      </c>
      <c r="D2233" t="str">
        <f>"9781800641280"</f>
        <v>9781800641280</v>
      </c>
      <c r="E2233" t="s">
        <v>580</v>
      </c>
      <c r="F2233" s="1">
        <v>44286</v>
      </c>
    </row>
    <row r="2234" spans="1:6" x14ac:dyDescent="0.25">
      <c r="A2234">
        <v>6551436</v>
      </c>
      <c r="B2234" t="s">
        <v>2276</v>
      </c>
      <c r="C2234" t="str">
        <f>"9781800641655"</f>
        <v>9781800641655</v>
      </c>
      <c r="D2234" t="str">
        <f>"9781800641662"</f>
        <v>9781800641662</v>
      </c>
      <c r="E2234" t="s">
        <v>580</v>
      </c>
      <c r="F2234" s="1">
        <v>44287</v>
      </c>
    </row>
    <row r="2235" spans="1:6" x14ac:dyDescent="0.25">
      <c r="A2235">
        <v>6551437</v>
      </c>
      <c r="B2235" t="s">
        <v>2277</v>
      </c>
      <c r="C2235" t="str">
        <f>"9781800641143"</f>
        <v>9781800641143</v>
      </c>
      <c r="D2235" t="str">
        <f>"9781800641150"</f>
        <v>9781800641150</v>
      </c>
      <c r="E2235" t="s">
        <v>580</v>
      </c>
      <c r="F2235" s="1">
        <v>44246</v>
      </c>
    </row>
    <row r="2236" spans="1:6" x14ac:dyDescent="0.25">
      <c r="A2236">
        <v>6551438</v>
      </c>
      <c r="B2236" t="s">
        <v>2278</v>
      </c>
      <c r="C2236" t="str">
        <f>"9781800641594"</f>
        <v>9781800641594</v>
      </c>
      <c r="D2236" t="str">
        <f>"9781800641600"</f>
        <v>9781800641600</v>
      </c>
      <c r="E2236" t="s">
        <v>580</v>
      </c>
      <c r="F2236" s="1">
        <v>44286</v>
      </c>
    </row>
    <row r="2237" spans="1:6" x14ac:dyDescent="0.25">
      <c r="A2237">
        <v>6552128</v>
      </c>
      <c r="B2237" t="s">
        <v>2279</v>
      </c>
      <c r="C2237" t="str">
        <f>"9789027208330"</f>
        <v>9789027208330</v>
      </c>
      <c r="D2237" t="str">
        <f>"9789027260246"</f>
        <v>9789027260246</v>
      </c>
      <c r="E2237" t="s">
        <v>413</v>
      </c>
      <c r="F2237" s="1">
        <v>44309</v>
      </c>
    </row>
    <row r="2238" spans="1:6" x14ac:dyDescent="0.25">
      <c r="A2238">
        <v>6552906</v>
      </c>
      <c r="B2238" t="s">
        <v>2280</v>
      </c>
      <c r="C2238" t="str">
        <f>""</f>
        <v/>
      </c>
      <c r="D2238" t="str">
        <f>"9789179296759"</f>
        <v>9789179296759</v>
      </c>
      <c r="E2238" t="s">
        <v>1268</v>
      </c>
      <c r="F2238" s="1">
        <v>44284</v>
      </c>
    </row>
    <row r="2239" spans="1:6" x14ac:dyDescent="0.25">
      <c r="A2239">
        <v>6552907</v>
      </c>
      <c r="B2239" t="s">
        <v>2281</v>
      </c>
      <c r="C2239" t="str">
        <f>""</f>
        <v/>
      </c>
      <c r="D2239" t="str">
        <f>"9789179296728"</f>
        <v>9789179296728</v>
      </c>
      <c r="E2239" t="s">
        <v>1268</v>
      </c>
      <c r="F2239" s="1">
        <v>44285</v>
      </c>
    </row>
    <row r="2240" spans="1:6" x14ac:dyDescent="0.25">
      <c r="A2240">
        <v>6563628</v>
      </c>
      <c r="B2240" t="s">
        <v>2282</v>
      </c>
      <c r="C2240" t="str">
        <f>"9789027208675"</f>
        <v>9789027208675</v>
      </c>
      <c r="D2240" t="str">
        <f>"9789027259929"</f>
        <v>9789027259929</v>
      </c>
      <c r="E2240" t="s">
        <v>413</v>
      </c>
      <c r="F2240" s="1">
        <v>44326</v>
      </c>
    </row>
    <row r="2241" spans="1:6" x14ac:dyDescent="0.25">
      <c r="A2241">
        <v>6566351</v>
      </c>
      <c r="B2241" t="s">
        <v>2283</v>
      </c>
      <c r="C2241" t="str">
        <f>""</f>
        <v/>
      </c>
      <c r="D2241" t="str">
        <f>"9789179296438"</f>
        <v>9789179296438</v>
      </c>
      <c r="E2241" t="s">
        <v>1268</v>
      </c>
      <c r="F2241" s="1">
        <v>44301</v>
      </c>
    </row>
    <row r="2242" spans="1:6" x14ac:dyDescent="0.25">
      <c r="A2242">
        <v>6566352</v>
      </c>
      <c r="B2242" t="s">
        <v>2284</v>
      </c>
      <c r="C2242" t="str">
        <f>""</f>
        <v/>
      </c>
      <c r="D2242" t="str">
        <f>"9789179296537"</f>
        <v>9789179296537</v>
      </c>
      <c r="E2242" t="s">
        <v>1268</v>
      </c>
      <c r="F2242" s="1">
        <v>44309</v>
      </c>
    </row>
    <row r="2243" spans="1:6" x14ac:dyDescent="0.25">
      <c r="A2243">
        <v>6566353</v>
      </c>
      <c r="B2243" t="s">
        <v>2285</v>
      </c>
      <c r="C2243" t="str">
        <f>""</f>
        <v/>
      </c>
      <c r="D2243" t="str">
        <f>"9789179298746"</f>
        <v>9789179298746</v>
      </c>
      <c r="E2243" t="s">
        <v>1268</v>
      </c>
      <c r="F2243" s="1">
        <v>44306</v>
      </c>
    </row>
    <row r="2244" spans="1:6" x14ac:dyDescent="0.25">
      <c r="A2244">
        <v>6566901</v>
      </c>
      <c r="B2244" t="s">
        <v>2286</v>
      </c>
      <c r="C2244" t="str">
        <f>"9783030652869"</f>
        <v>9783030652869</v>
      </c>
      <c r="D2244" t="str">
        <f>"9783030652876"</f>
        <v>9783030652876</v>
      </c>
      <c r="E2244" t="s">
        <v>756</v>
      </c>
      <c r="F2244" s="1">
        <v>44333</v>
      </c>
    </row>
    <row r="2245" spans="1:6" x14ac:dyDescent="0.25">
      <c r="A2245">
        <v>6566902</v>
      </c>
      <c r="B2245" t="s">
        <v>2287</v>
      </c>
      <c r="C2245" t="str">
        <f>"9789813367333"</f>
        <v>9789813367333</v>
      </c>
      <c r="D2245" t="str">
        <f>"9789813367340"</f>
        <v>9789813367340</v>
      </c>
      <c r="E2245" t="s">
        <v>1177</v>
      </c>
      <c r="F2245" s="1">
        <v>44308</v>
      </c>
    </row>
    <row r="2246" spans="1:6" x14ac:dyDescent="0.25">
      <c r="A2246">
        <v>6566903</v>
      </c>
      <c r="B2246" t="s">
        <v>2288</v>
      </c>
      <c r="C2246" t="str">
        <f>"9783030697273"</f>
        <v>9783030697273</v>
      </c>
      <c r="D2246" t="str">
        <f>"9783030697280"</f>
        <v>9783030697280</v>
      </c>
      <c r="E2246" t="s">
        <v>756</v>
      </c>
      <c r="F2246" s="1">
        <v>44308</v>
      </c>
    </row>
    <row r="2247" spans="1:6" x14ac:dyDescent="0.25">
      <c r="A2247">
        <v>6566915</v>
      </c>
      <c r="B2247" t="s">
        <v>2289</v>
      </c>
      <c r="C2247" t="str">
        <f>"9783030662998"</f>
        <v>9783030662998</v>
      </c>
      <c r="D2247" t="str">
        <f>"9783030663001"</f>
        <v>9783030663001</v>
      </c>
      <c r="E2247" t="s">
        <v>756</v>
      </c>
      <c r="F2247" s="1">
        <v>44308</v>
      </c>
    </row>
    <row r="2248" spans="1:6" x14ac:dyDescent="0.25">
      <c r="A2248">
        <v>6566965</v>
      </c>
      <c r="B2248" t="s">
        <v>2290</v>
      </c>
      <c r="C2248" t="str">
        <f>"9783030650667"</f>
        <v>9783030650667</v>
      </c>
      <c r="D2248" t="str">
        <f>"9783030650674"</f>
        <v>9783030650674</v>
      </c>
      <c r="E2248" t="s">
        <v>756</v>
      </c>
      <c r="F2248" s="1">
        <v>44308</v>
      </c>
    </row>
    <row r="2249" spans="1:6" x14ac:dyDescent="0.25">
      <c r="A2249">
        <v>6566991</v>
      </c>
      <c r="B2249" t="s">
        <v>2291</v>
      </c>
      <c r="C2249" t="str">
        <f>"9783030673444"</f>
        <v>9783030673444</v>
      </c>
      <c r="D2249" t="str">
        <f>"9783030673451"</f>
        <v>9783030673451</v>
      </c>
      <c r="E2249" t="s">
        <v>756</v>
      </c>
      <c r="F2249" s="1">
        <v>44308</v>
      </c>
    </row>
    <row r="2250" spans="1:6" x14ac:dyDescent="0.25">
      <c r="A2250">
        <v>6567002</v>
      </c>
      <c r="B2250" t="s">
        <v>2292</v>
      </c>
      <c r="C2250" t="str">
        <f>"9789813367609"</f>
        <v>9789813367609</v>
      </c>
      <c r="D2250" t="str">
        <f>"9789813367616"</f>
        <v>9789813367616</v>
      </c>
      <c r="E2250" t="s">
        <v>1177</v>
      </c>
      <c r="F2250" s="1">
        <v>44309</v>
      </c>
    </row>
    <row r="2251" spans="1:6" x14ac:dyDescent="0.25">
      <c r="A2251">
        <v>6567006</v>
      </c>
      <c r="B2251" t="s">
        <v>2293</v>
      </c>
      <c r="C2251" t="str">
        <f>"9783030684136"</f>
        <v>9783030684136</v>
      </c>
      <c r="D2251" t="str">
        <f>"9783030684143"</f>
        <v>9783030684143</v>
      </c>
      <c r="E2251" t="s">
        <v>756</v>
      </c>
      <c r="F2251" s="1">
        <v>44309</v>
      </c>
    </row>
    <row r="2252" spans="1:6" x14ac:dyDescent="0.25">
      <c r="A2252">
        <v>6567013</v>
      </c>
      <c r="B2252" t="s">
        <v>2294</v>
      </c>
      <c r="C2252" t="str">
        <f>"9783030650018"</f>
        <v>9783030650018</v>
      </c>
      <c r="D2252" t="str">
        <f>"9783030650025"</f>
        <v>9783030650025</v>
      </c>
      <c r="E2252" t="s">
        <v>756</v>
      </c>
      <c r="F2252" s="1">
        <v>44308</v>
      </c>
    </row>
    <row r="2253" spans="1:6" x14ac:dyDescent="0.25">
      <c r="A2253">
        <v>6567016</v>
      </c>
      <c r="B2253" t="s">
        <v>2295</v>
      </c>
      <c r="C2253" t="str">
        <f>"9783030565848"</f>
        <v>9783030565848</v>
      </c>
      <c r="D2253" t="str">
        <f>"9783030565855"</f>
        <v>9783030565855</v>
      </c>
      <c r="E2253" t="s">
        <v>756</v>
      </c>
      <c r="F2253" s="1">
        <v>44309</v>
      </c>
    </row>
    <row r="2254" spans="1:6" x14ac:dyDescent="0.25">
      <c r="A2254">
        <v>6567037</v>
      </c>
      <c r="B2254" t="s">
        <v>2296</v>
      </c>
      <c r="C2254" t="str">
        <f>"9783030672836"</f>
        <v>9783030672836</v>
      </c>
      <c r="D2254" t="str">
        <f>"9783030672843"</f>
        <v>9783030672843</v>
      </c>
      <c r="E2254" t="s">
        <v>756</v>
      </c>
      <c r="F2254" s="1">
        <v>44308</v>
      </c>
    </row>
    <row r="2255" spans="1:6" x14ac:dyDescent="0.25">
      <c r="A2255">
        <v>6567083</v>
      </c>
      <c r="B2255" t="s">
        <v>2297</v>
      </c>
      <c r="C2255" t="str">
        <f>"9783030658427"</f>
        <v>9783030658427</v>
      </c>
      <c r="D2255" t="str">
        <f>"9783030658434"</f>
        <v>9783030658434</v>
      </c>
      <c r="E2255" t="s">
        <v>756</v>
      </c>
      <c r="F2255" s="1">
        <v>44308</v>
      </c>
    </row>
    <row r="2256" spans="1:6" x14ac:dyDescent="0.25">
      <c r="A2256">
        <v>6567088</v>
      </c>
      <c r="B2256" t="s">
        <v>2298</v>
      </c>
      <c r="C2256" t="str">
        <f>"9783030705657"</f>
        <v>9783030705657</v>
      </c>
      <c r="D2256" t="str">
        <f>"9783030705664"</f>
        <v>9783030705664</v>
      </c>
      <c r="E2256" t="s">
        <v>756</v>
      </c>
      <c r="F2256" s="1">
        <v>44308</v>
      </c>
    </row>
    <row r="2257" spans="1:6" x14ac:dyDescent="0.25">
      <c r="A2257">
        <v>6568304</v>
      </c>
      <c r="B2257" t="s">
        <v>2299</v>
      </c>
      <c r="C2257" t="str">
        <f>"9783030574253"</f>
        <v>9783030574253</v>
      </c>
      <c r="D2257" t="str">
        <f>"9783030574260"</f>
        <v>9783030574260</v>
      </c>
      <c r="E2257" t="s">
        <v>756</v>
      </c>
      <c r="F2257" s="1">
        <v>44310</v>
      </c>
    </row>
    <row r="2258" spans="1:6" x14ac:dyDescent="0.25">
      <c r="A2258">
        <v>6568318</v>
      </c>
      <c r="B2258" t="s">
        <v>2300</v>
      </c>
      <c r="C2258" t="str">
        <f>"9783030666606"</f>
        <v>9783030666606</v>
      </c>
      <c r="D2258" t="str">
        <f>"9783030666613"</f>
        <v>9783030666613</v>
      </c>
      <c r="E2258" t="s">
        <v>756</v>
      </c>
      <c r="F2258" s="1">
        <v>44271</v>
      </c>
    </row>
    <row r="2259" spans="1:6" x14ac:dyDescent="0.25">
      <c r="A2259">
        <v>6571537</v>
      </c>
      <c r="B2259" t="s">
        <v>2301</v>
      </c>
      <c r="C2259" t="str">
        <f>"9789633863213"</f>
        <v>9789633863213</v>
      </c>
      <c r="D2259" t="str">
        <f>"9789633863220"</f>
        <v>9789633863220</v>
      </c>
      <c r="E2259" t="s">
        <v>576</v>
      </c>
      <c r="F2259" s="1">
        <v>43862</v>
      </c>
    </row>
    <row r="2260" spans="1:6" x14ac:dyDescent="0.25">
      <c r="A2260">
        <v>6578004</v>
      </c>
      <c r="B2260" t="s">
        <v>2302</v>
      </c>
      <c r="C2260" t="str">
        <f>"9783030641702"</f>
        <v>9783030641702</v>
      </c>
      <c r="D2260" t="str">
        <f>"9783030641719"</f>
        <v>9783030641719</v>
      </c>
      <c r="E2260" t="s">
        <v>756</v>
      </c>
      <c r="F2260" s="1">
        <v>44315</v>
      </c>
    </row>
    <row r="2261" spans="1:6" x14ac:dyDescent="0.25">
      <c r="A2261">
        <v>6578098</v>
      </c>
      <c r="B2261" t="s">
        <v>2303</v>
      </c>
      <c r="C2261" t="str">
        <f>""</f>
        <v/>
      </c>
      <c r="D2261" t="str">
        <f>"9782759232789"</f>
        <v>9782759232789</v>
      </c>
      <c r="E2261" t="s">
        <v>626</v>
      </c>
      <c r="F2261" s="1">
        <v>44266</v>
      </c>
    </row>
    <row r="2262" spans="1:6" x14ac:dyDescent="0.25">
      <c r="A2262">
        <v>6578099</v>
      </c>
      <c r="B2262" t="s">
        <v>2304</v>
      </c>
      <c r="C2262" t="str">
        <f>""</f>
        <v/>
      </c>
      <c r="D2262" t="str">
        <f>"9782759232949"</f>
        <v>9782759232949</v>
      </c>
      <c r="E2262" t="s">
        <v>626</v>
      </c>
      <c r="F2262" s="1">
        <v>44183</v>
      </c>
    </row>
    <row r="2263" spans="1:6" x14ac:dyDescent="0.25">
      <c r="A2263">
        <v>6578102</v>
      </c>
      <c r="B2263" t="s">
        <v>2305</v>
      </c>
      <c r="C2263" t="str">
        <f>""</f>
        <v/>
      </c>
      <c r="D2263" t="str">
        <f>"9782759232826"</f>
        <v>9782759232826</v>
      </c>
      <c r="E2263" t="s">
        <v>626</v>
      </c>
      <c r="F2263" s="1">
        <v>44183</v>
      </c>
    </row>
    <row r="2264" spans="1:6" x14ac:dyDescent="0.25">
      <c r="A2264">
        <v>6578533</v>
      </c>
      <c r="B2264" t="s">
        <v>2306</v>
      </c>
      <c r="C2264" t="str">
        <f>"9783030639150"</f>
        <v>9783030639150</v>
      </c>
      <c r="D2264" t="str">
        <f>"9783030639167"</f>
        <v>9783030639167</v>
      </c>
      <c r="E2264" t="s">
        <v>756</v>
      </c>
      <c r="F2264" s="1">
        <v>44316</v>
      </c>
    </row>
    <row r="2265" spans="1:6" x14ac:dyDescent="0.25">
      <c r="A2265">
        <v>6578553</v>
      </c>
      <c r="B2265" t="s">
        <v>2307</v>
      </c>
      <c r="C2265" t="str">
        <f>"9783658337711"</f>
        <v>9783658337711</v>
      </c>
      <c r="D2265" t="str">
        <f>"9783658337728"</f>
        <v>9783658337728</v>
      </c>
      <c r="E2265" t="s">
        <v>1391</v>
      </c>
      <c r="F2265" s="1">
        <v>44316</v>
      </c>
    </row>
    <row r="2266" spans="1:6" x14ac:dyDescent="0.25">
      <c r="A2266">
        <v>6578564</v>
      </c>
      <c r="B2266" t="s">
        <v>2308</v>
      </c>
      <c r="C2266" t="str">
        <f>"9783030674977"</f>
        <v>9783030674977</v>
      </c>
      <c r="D2266" t="str">
        <f>"9783030674984"</f>
        <v>9783030674984</v>
      </c>
      <c r="E2266" t="s">
        <v>756</v>
      </c>
      <c r="F2266" s="1">
        <v>44316</v>
      </c>
    </row>
    <row r="2267" spans="1:6" x14ac:dyDescent="0.25">
      <c r="A2267">
        <v>6578583</v>
      </c>
      <c r="B2267" t="s">
        <v>2309</v>
      </c>
      <c r="C2267" t="str">
        <f>"9789811621703"</f>
        <v>9789811621703</v>
      </c>
      <c r="D2267" t="str">
        <f>"9789811621710"</f>
        <v>9789811621710</v>
      </c>
      <c r="E2267" t="s">
        <v>1177</v>
      </c>
      <c r="F2267" s="1">
        <v>44316</v>
      </c>
    </row>
    <row r="2268" spans="1:6" x14ac:dyDescent="0.25">
      <c r="A2268">
        <v>6578718</v>
      </c>
      <c r="B2268" t="s">
        <v>2310</v>
      </c>
      <c r="C2268" t="str">
        <f>"9783658330613"</f>
        <v>9783658330613</v>
      </c>
      <c r="D2268" t="str">
        <f>"9783658330620"</f>
        <v>9783658330620</v>
      </c>
      <c r="E2268" t="s">
        <v>1391</v>
      </c>
      <c r="F2268" s="1">
        <v>44393</v>
      </c>
    </row>
    <row r="2269" spans="1:6" x14ac:dyDescent="0.25">
      <c r="A2269">
        <v>6578756</v>
      </c>
      <c r="B2269" t="s">
        <v>2311</v>
      </c>
      <c r="C2269" t="str">
        <f>"9783030635220"</f>
        <v>9783030635220</v>
      </c>
      <c r="D2269" t="str">
        <f>"9783030635237"</f>
        <v>9783030635237</v>
      </c>
      <c r="E2269" t="s">
        <v>756</v>
      </c>
      <c r="F2269" s="1">
        <v>44316</v>
      </c>
    </row>
    <row r="2270" spans="1:6" x14ac:dyDescent="0.25">
      <c r="A2270">
        <v>6578762</v>
      </c>
      <c r="B2270" t="s">
        <v>2312</v>
      </c>
      <c r="C2270" t="str">
        <f>"9783658329235"</f>
        <v>9783658329235</v>
      </c>
      <c r="D2270" t="str">
        <f>"9783658329242"</f>
        <v>9783658329242</v>
      </c>
      <c r="E2270" t="s">
        <v>1391</v>
      </c>
      <c r="F2270" s="1">
        <v>44414</v>
      </c>
    </row>
    <row r="2271" spans="1:6" x14ac:dyDescent="0.25">
      <c r="A2271">
        <v>6579433</v>
      </c>
      <c r="B2271" t="s">
        <v>2313</v>
      </c>
      <c r="C2271" t="str">
        <f>""</f>
        <v/>
      </c>
      <c r="D2271" t="str">
        <f>"9789179296285"</f>
        <v>9789179296285</v>
      </c>
      <c r="E2271" t="s">
        <v>1268</v>
      </c>
      <c r="F2271" s="1">
        <v>44314</v>
      </c>
    </row>
    <row r="2272" spans="1:6" x14ac:dyDescent="0.25">
      <c r="A2272">
        <v>6579434</v>
      </c>
      <c r="B2272" t="s">
        <v>2314</v>
      </c>
      <c r="C2272" t="str">
        <f>""</f>
        <v/>
      </c>
      <c r="D2272" t="str">
        <f>"9789179296674"</f>
        <v>9789179296674</v>
      </c>
      <c r="E2272" t="s">
        <v>1268</v>
      </c>
      <c r="F2272" s="1">
        <v>44315</v>
      </c>
    </row>
    <row r="2273" spans="1:6" x14ac:dyDescent="0.25">
      <c r="A2273">
        <v>6579435</v>
      </c>
      <c r="B2273" t="s">
        <v>2315</v>
      </c>
      <c r="C2273" t="str">
        <f>""</f>
        <v/>
      </c>
      <c r="D2273" t="str">
        <f>"9789179296766"</f>
        <v>9789179296766</v>
      </c>
      <c r="E2273" t="s">
        <v>1268</v>
      </c>
      <c r="F2273" s="1">
        <v>44312</v>
      </c>
    </row>
    <row r="2274" spans="1:6" x14ac:dyDescent="0.25">
      <c r="A2274">
        <v>6579436</v>
      </c>
      <c r="B2274" t="s">
        <v>2316</v>
      </c>
      <c r="C2274" t="str">
        <f>""</f>
        <v/>
      </c>
      <c r="D2274" t="str">
        <f>"9789179296735"</f>
        <v>9789179296735</v>
      </c>
      <c r="E2274" t="s">
        <v>1268</v>
      </c>
      <c r="F2274" s="1">
        <v>44251</v>
      </c>
    </row>
    <row r="2275" spans="1:6" x14ac:dyDescent="0.25">
      <c r="A2275">
        <v>6579437</v>
      </c>
      <c r="B2275" t="s">
        <v>2317</v>
      </c>
      <c r="C2275" t="str">
        <f>""</f>
        <v/>
      </c>
      <c r="D2275" t="str">
        <f>"9789179296858"</f>
        <v>9789179296858</v>
      </c>
      <c r="E2275" t="s">
        <v>1268</v>
      </c>
      <c r="F2275" s="1">
        <v>44315</v>
      </c>
    </row>
    <row r="2276" spans="1:6" x14ac:dyDescent="0.25">
      <c r="A2276">
        <v>6579438</v>
      </c>
      <c r="B2276" t="s">
        <v>2318</v>
      </c>
      <c r="C2276" t="str">
        <f>""</f>
        <v/>
      </c>
      <c r="D2276" t="str">
        <f>"9789179296650"</f>
        <v>9789179296650</v>
      </c>
      <c r="E2276" t="s">
        <v>1268</v>
      </c>
      <c r="F2276" s="1">
        <v>44314</v>
      </c>
    </row>
    <row r="2277" spans="1:6" x14ac:dyDescent="0.25">
      <c r="A2277">
        <v>6579439</v>
      </c>
      <c r="B2277" t="s">
        <v>2319</v>
      </c>
      <c r="C2277" t="str">
        <f>""</f>
        <v/>
      </c>
      <c r="D2277" t="str">
        <f>"9789179297022"</f>
        <v>9789179297022</v>
      </c>
      <c r="E2277" t="s">
        <v>1268</v>
      </c>
      <c r="F2277" s="1">
        <v>44312</v>
      </c>
    </row>
    <row r="2278" spans="1:6" x14ac:dyDescent="0.25">
      <c r="A2278">
        <v>6579440</v>
      </c>
      <c r="B2278" t="s">
        <v>2320</v>
      </c>
      <c r="C2278" t="str">
        <f>""</f>
        <v/>
      </c>
      <c r="D2278" t="str">
        <f>"9789179296865"</f>
        <v>9789179296865</v>
      </c>
      <c r="E2278" t="s">
        <v>1268</v>
      </c>
      <c r="F2278" s="1">
        <v>44312</v>
      </c>
    </row>
    <row r="2279" spans="1:6" x14ac:dyDescent="0.25">
      <c r="A2279">
        <v>6587290</v>
      </c>
      <c r="B2279" t="s">
        <v>2321</v>
      </c>
      <c r="C2279" t="str">
        <f>"9781438484099"</f>
        <v>9781438484099</v>
      </c>
      <c r="D2279" t="str">
        <f>"9781438484112"</f>
        <v>9781438484112</v>
      </c>
      <c r="E2279" t="s">
        <v>684</v>
      </c>
      <c r="F2279" s="1">
        <v>44287</v>
      </c>
    </row>
    <row r="2280" spans="1:6" x14ac:dyDescent="0.25">
      <c r="A2280">
        <v>6606016</v>
      </c>
      <c r="B2280" t="s">
        <v>2322</v>
      </c>
      <c r="C2280" t="str">
        <f>"9783030643072"</f>
        <v>9783030643072</v>
      </c>
      <c r="D2280" t="str">
        <f>"9783030643089"</f>
        <v>9783030643089</v>
      </c>
      <c r="E2280" t="s">
        <v>756</v>
      </c>
      <c r="F2280" s="1">
        <v>44321</v>
      </c>
    </row>
    <row r="2281" spans="1:6" x14ac:dyDescent="0.25">
      <c r="A2281">
        <v>6606565</v>
      </c>
      <c r="B2281" t="s">
        <v>2323</v>
      </c>
      <c r="C2281" t="str">
        <f>"9783030627911"</f>
        <v>9783030627911</v>
      </c>
      <c r="D2281" t="str">
        <f>"9783030627928"</f>
        <v>9783030627928</v>
      </c>
      <c r="E2281" t="s">
        <v>756</v>
      </c>
      <c r="F2281" s="1">
        <v>44322</v>
      </c>
    </row>
    <row r="2282" spans="1:6" x14ac:dyDescent="0.25">
      <c r="A2282">
        <v>6606566</v>
      </c>
      <c r="B2282" t="s">
        <v>2324</v>
      </c>
      <c r="C2282" t="str">
        <f>"9783030694104"</f>
        <v>9783030694104</v>
      </c>
      <c r="D2282" t="str">
        <f>"9783030694111"</f>
        <v>9783030694111</v>
      </c>
      <c r="E2282" t="s">
        <v>756</v>
      </c>
      <c r="F2282" s="1">
        <v>44322</v>
      </c>
    </row>
    <row r="2283" spans="1:6" x14ac:dyDescent="0.25">
      <c r="A2283">
        <v>6606585</v>
      </c>
      <c r="B2283" t="s">
        <v>2325</v>
      </c>
      <c r="C2283" t="str">
        <f>"9783030665296"</f>
        <v>9783030665296</v>
      </c>
      <c r="D2283" t="str">
        <f>"9783030665302"</f>
        <v>9783030665302</v>
      </c>
      <c r="E2283" t="s">
        <v>756</v>
      </c>
      <c r="F2283" s="1">
        <v>44322</v>
      </c>
    </row>
    <row r="2284" spans="1:6" x14ac:dyDescent="0.25">
      <c r="A2284">
        <v>6606589</v>
      </c>
      <c r="B2284" t="s">
        <v>2326</v>
      </c>
      <c r="C2284" t="str">
        <f>"9789813369030"</f>
        <v>9789813369030</v>
      </c>
      <c r="D2284" t="str">
        <f>"9789813369047"</f>
        <v>9789813369047</v>
      </c>
      <c r="E2284" t="s">
        <v>1177</v>
      </c>
      <c r="F2284" s="1">
        <v>44322</v>
      </c>
    </row>
    <row r="2285" spans="1:6" x14ac:dyDescent="0.25">
      <c r="A2285">
        <v>6607545</v>
      </c>
      <c r="B2285" t="s">
        <v>2327</v>
      </c>
      <c r="C2285" t="str">
        <f>"9783030703806"</f>
        <v>9783030703806</v>
      </c>
      <c r="D2285" t="str">
        <f>"9783030703813"</f>
        <v>9783030703813</v>
      </c>
      <c r="E2285" t="s">
        <v>756</v>
      </c>
      <c r="F2285" s="1">
        <v>44324</v>
      </c>
    </row>
    <row r="2286" spans="1:6" x14ac:dyDescent="0.25">
      <c r="A2286">
        <v>6607571</v>
      </c>
      <c r="B2286" t="s">
        <v>2328</v>
      </c>
      <c r="C2286" t="str">
        <f>""</f>
        <v/>
      </c>
      <c r="D2286" t="str">
        <f>"9789179296445"</f>
        <v>9789179296445</v>
      </c>
      <c r="E2286" t="s">
        <v>1268</v>
      </c>
      <c r="F2286" s="1">
        <v>44322</v>
      </c>
    </row>
    <row r="2287" spans="1:6" x14ac:dyDescent="0.25">
      <c r="A2287">
        <v>6607572</v>
      </c>
      <c r="B2287" t="s">
        <v>2329</v>
      </c>
      <c r="C2287" t="str">
        <f>""</f>
        <v/>
      </c>
      <c r="D2287" t="str">
        <f>"9789179296483"</f>
        <v>9789179296483</v>
      </c>
      <c r="E2287" t="s">
        <v>1268</v>
      </c>
      <c r="F2287" s="1">
        <v>44323</v>
      </c>
    </row>
    <row r="2288" spans="1:6" x14ac:dyDescent="0.25">
      <c r="A2288">
        <v>6607573</v>
      </c>
      <c r="B2288" t="s">
        <v>2330</v>
      </c>
      <c r="C2288" t="str">
        <f>""</f>
        <v/>
      </c>
      <c r="D2288" t="str">
        <f>"9789179296995"</f>
        <v>9789179296995</v>
      </c>
      <c r="E2288" t="s">
        <v>1268</v>
      </c>
      <c r="F2288" s="1">
        <v>44319</v>
      </c>
    </row>
    <row r="2289" spans="1:6" x14ac:dyDescent="0.25">
      <c r="A2289">
        <v>6607574</v>
      </c>
      <c r="B2289" t="s">
        <v>2331</v>
      </c>
      <c r="C2289" t="str">
        <f>""</f>
        <v/>
      </c>
      <c r="D2289" t="str">
        <f>"9789179296278"</f>
        <v>9789179296278</v>
      </c>
      <c r="E2289" t="s">
        <v>1268</v>
      </c>
      <c r="F2289" s="1">
        <v>44323</v>
      </c>
    </row>
    <row r="2290" spans="1:6" x14ac:dyDescent="0.25">
      <c r="A2290">
        <v>6607575</v>
      </c>
      <c r="B2290" t="s">
        <v>2332</v>
      </c>
      <c r="C2290" t="str">
        <f>""</f>
        <v/>
      </c>
      <c r="D2290" t="str">
        <f>"9789179296919"</f>
        <v>9789179296919</v>
      </c>
      <c r="E2290" t="s">
        <v>1268</v>
      </c>
      <c r="F2290" s="1">
        <v>44321</v>
      </c>
    </row>
    <row r="2291" spans="1:6" x14ac:dyDescent="0.25">
      <c r="A2291">
        <v>6607576</v>
      </c>
      <c r="B2291" t="s">
        <v>2333</v>
      </c>
      <c r="C2291" t="str">
        <f>""</f>
        <v/>
      </c>
      <c r="D2291" t="str">
        <f>"9789179296711"</f>
        <v>9789179296711</v>
      </c>
      <c r="E2291" t="s">
        <v>1268</v>
      </c>
      <c r="F2291" s="1">
        <v>44306</v>
      </c>
    </row>
    <row r="2292" spans="1:6" x14ac:dyDescent="0.25">
      <c r="A2292">
        <v>6607577</v>
      </c>
      <c r="B2292" t="s">
        <v>2334</v>
      </c>
      <c r="C2292" t="str">
        <f>""</f>
        <v/>
      </c>
      <c r="D2292" t="str">
        <f>"9789179296704"</f>
        <v>9789179296704</v>
      </c>
      <c r="E2292" t="s">
        <v>1268</v>
      </c>
      <c r="F2292" s="1">
        <v>44316</v>
      </c>
    </row>
    <row r="2293" spans="1:6" x14ac:dyDescent="0.25">
      <c r="A2293">
        <v>6607699</v>
      </c>
      <c r="B2293" t="s">
        <v>2335</v>
      </c>
      <c r="C2293" t="str">
        <f>"9783030705152"</f>
        <v>9783030705152</v>
      </c>
      <c r="D2293" t="str">
        <f>"9783030705169"</f>
        <v>9783030705169</v>
      </c>
      <c r="E2293" t="s">
        <v>756</v>
      </c>
      <c r="F2293" s="1">
        <v>44325</v>
      </c>
    </row>
    <row r="2294" spans="1:6" x14ac:dyDescent="0.25">
      <c r="A2294">
        <v>6611767</v>
      </c>
      <c r="B2294" t="s">
        <v>2336</v>
      </c>
      <c r="C2294" t="str">
        <f>"9783030726799"</f>
        <v>9783030726799</v>
      </c>
      <c r="D2294" t="str">
        <f>"9783030726805"</f>
        <v>9783030726805</v>
      </c>
      <c r="E2294" t="s">
        <v>756</v>
      </c>
      <c r="F2294" s="1">
        <v>44327</v>
      </c>
    </row>
    <row r="2295" spans="1:6" x14ac:dyDescent="0.25">
      <c r="A2295">
        <v>6611769</v>
      </c>
      <c r="B2295" t="s">
        <v>2337</v>
      </c>
      <c r="C2295" t="str">
        <f>"9783030706913"</f>
        <v>9783030706913</v>
      </c>
      <c r="D2295" t="str">
        <f>"9783030706920"</f>
        <v>9783030706920</v>
      </c>
      <c r="E2295" t="s">
        <v>756</v>
      </c>
      <c r="F2295" s="1">
        <v>44327</v>
      </c>
    </row>
    <row r="2296" spans="1:6" x14ac:dyDescent="0.25">
      <c r="A2296">
        <v>6611784</v>
      </c>
      <c r="B2296" t="s">
        <v>2338</v>
      </c>
      <c r="C2296" t="str">
        <f>"9783030613891"</f>
        <v>9783030613891</v>
      </c>
      <c r="D2296" t="str">
        <f>"9783030613907"</f>
        <v>9783030613907</v>
      </c>
      <c r="E2296" t="s">
        <v>756</v>
      </c>
      <c r="F2296" s="1">
        <v>44327</v>
      </c>
    </row>
    <row r="2297" spans="1:6" x14ac:dyDescent="0.25">
      <c r="A2297">
        <v>6611787</v>
      </c>
      <c r="B2297" t="s">
        <v>2339</v>
      </c>
      <c r="C2297" t="str">
        <f>"9783030634520"</f>
        <v>9783030634520</v>
      </c>
      <c r="D2297" t="str">
        <f>"9783030634537"</f>
        <v>9783030634537</v>
      </c>
      <c r="E2297" t="s">
        <v>756</v>
      </c>
      <c r="F2297" s="1">
        <v>44327</v>
      </c>
    </row>
    <row r="2298" spans="1:6" x14ac:dyDescent="0.25">
      <c r="A2298">
        <v>6611801</v>
      </c>
      <c r="B2298" t="s">
        <v>2340</v>
      </c>
      <c r="C2298" t="str">
        <f>"9783030673642"</f>
        <v>9783030673642</v>
      </c>
      <c r="D2298" t="str">
        <f>"9783030673659"</f>
        <v>9783030673659</v>
      </c>
      <c r="E2298" t="s">
        <v>756</v>
      </c>
      <c r="F2298" s="1">
        <v>44327</v>
      </c>
    </row>
    <row r="2299" spans="1:6" x14ac:dyDescent="0.25">
      <c r="A2299">
        <v>6613021</v>
      </c>
      <c r="B2299" t="s">
        <v>2341</v>
      </c>
      <c r="C2299" t="str">
        <f>"9781800641556"</f>
        <v>9781800641556</v>
      </c>
      <c r="D2299" t="str">
        <f>"9781800641549"</f>
        <v>9781800641549</v>
      </c>
      <c r="E2299" t="s">
        <v>580</v>
      </c>
      <c r="F2299" s="1">
        <v>44317</v>
      </c>
    </row>
    <row r="2300" spans="1:6" x14ac:dyDescent="0.25">
      <c r="A2300">
        <v>6613022</v>
      </c>
      <c r="B2300" t="s">
        <v>2342</v>
      </c>
      <c r="C2300" t="str">
        <f>"9781800640993"</f>
        <v>9781800640993</v>
      </c>
      <c r="D2300" t="str">
        <f>"9781800641006"</f>
        <v>9781800641006</v>
      </c>
      <c r="E2300" t="s">
        <v>580</v>
      </c>
      <c r="F2300" s="1">
        <v>44301</v>
      </c>
    </row>
    <row r="2301" spans="1:6" x14ac:dyDescent="0.25">
      <c r="A2301">
        <v>6613023</v>
      </c>
      <c r="B2301" t="s">
        <v>2343</v>
      </c>
      <c r="C2301" t="str">
        <f>"9781783749942"</f>
        <v>9781783749942</v>
      </c>
      <c r="D2301" t="str">
        <f>"9781783749959"</f>
        <v>9781783749959</v>
      </c>
      <c r="E2301" t="s">
        <v>580</v>
      </c>
      <c r="F2301" s="1">
        <v>44317</v>
      </c>
    </row>
    <row r="2302" spans="1:6" x14ac:dyDescent="0.25">
      <c r="A2302">
        <v>6613024</v>
      </c>
      <c r="B2302" t="s">
        <v>2344</v>
      </c>
      <c r="C2302" t="str">
        <f>"9781783749621"</f>
        <v>9781783749621</v>
      </c>
      <c r="D2302" t="str">
        <f>"9781783749638"</f>
        <v>9781783749638</v>
      </c>
      <c r="E2302" t="s">
        <v>580</v>
      </c>
      <c r="F2302" s="1">
        <v>44286</v>
      </c>
    </row>
    <row r="2303" spans="1:6" x14ac:dyDescent="0.25">
      <c r="A2303">
        <v>6614548</v>
      </c>
      <c r="B2303" t="s">
        <v>2345</v>
      </c>
      <c r="C2303" t="str">
        <f>"9783030582500"</f>
        <v>9783030582500</v>
      </c>
      <c r="D2303" t="str">
        <f>"9783030582517"</f>
        <v>9783030582517</v>
      </c>
      <c r="E2303" t="s">
        <v>756</v>
      </c>
      <c r="F2303" s="1">
        <v>44329</v>
      </c>
    </row>
    <row r="2304" spans="1:6" x14ac:dyDescent="0.25">
      <c r="A2304">
        <v>6621447</v>
      </c>
      <c r="B2304" t="s">
        <v>2346</v>
      </c>
      <c r="C2304" t="str">
        <f>"9783030713997"</f>
        <v>9783030713997</v>
      </c>
      <c r="D2304" t="str">
        <f>"9783030714000"</f>
        <v>9783030714000</v>
      </c>
      <c r="E2304" t="s">
        <v>756</v>
      </c>
      <c r="F2304" s="1">
        <v>44330</v>
      </c>
    </row>
    <row r="2305" spans="1:6" x14ac:dyDescent="0.25">
      <c r="A2305">
        <v>6623865</v>
      </c>
      <c r="B2305" t="s">
        <v>2347</v>
      </c>
      <c r="C2305" t="str">
        <f>"9781644694053"</f>
        <v>9781644694053</v>
      </c>
      <c r="D2305" t="str">
        <f>"9781644694060"</f>
        <v>9781644694060</v>
      </c>
      <c r="E2305" t="s">
        <v>514</v>
      </c>
      <c r="F2305" s="1">
        <v>44390</v>
      </c>
    </row>
    <row r="2306" spans="1:6" x14ac:dyDescent="0.25">
      <c r="A2306">
        <v>6623922</v>
      </c>
      <c r="B2306" t="s">
        <v>2348</v>
      </c>
      <c r="C2306" t="str">
        <f>""</f>
        <v/>
      </c>
      <c r="D2306" t="str">
        <f>"9789179296308"</f>
        <v>9789179296308</v>
      </c>
      <c r="E2306" t="s">
        <v>1268</v>
      </c>
      <c r="F2306" s="1">
        <v>44326</v>
      </c>
    </row>
    <row r="2307" spans="1:6" x14ac:dyDescent="0.25">
      <c r="A2307">
        <v>6623923</v>
      </c>
      <c r="B2307" t="s">
        <v>2349</v>
      </c>
      <c r="C2307" t="str">
        <f>""</f>
        <v/>
      </c>
      <c r="D2307" t="str">
        <f>"9789179296469"</f>
        <v>9789179296469</v>
      </c>
      <c r="E2307" t="s">
        <v>1268</v>
      </c>
      <c r="F2307" s="1">
        <v>44326</v>
      </c>
    </row>
    <row r="2308" spans="1:6" x14ac:dyDescent="0.25">
      <c r="A2308">
        <v>6623924</v>
      </c>
      <c r="B2308" t="s">
        <v>2350</v>
      </c>
      <c r="C2308" t="str">
        <f>""</f>
        <v/>
      </c>
      <c r="D2308" t="str">
        <f>"9789179296223"</f>
        <v>9789179296223</v>
      </c>
      <c r="E2308" t="s">
        <v>1268</v>
      </c>
      <c r="F2308" s="1">
        <v>44319</v>
      </c>
    </row>
    <row r="2309" spans="1:6" x14ac:dyDescent="0.25">
      <c r="A2309">
        <v>6623997</v>
      </c>
      <c r="B2309" t="s">
        <v>2351</v>
      </c>
      <c r="C2309" t="str">
        <f>"9783030669768"</f>
        <v>9783030669768</v>
      </c>
      <c r="D2309" t="str">
        <f>"9783030669775"</f>
        <v>9783030669775</v>
      </c>
      <c r="E2309" t="s">
        <v>756</v>
      </c>
      <c r="F2309" s="1">
        <v>44332</v>
      </c>
    </row>
    <row r="2310" spans="1:6" x14ac:dyDescent="0.25">
      <c r="A2310">
        <v>6624790</v>
      </c>
      <c r="B2310" t="s">
        <v>2352</v>
      </c>
      <c r="C2310" t="str">
        <f>"9789633863121"</f>
        <v>9789633863121</v>
      </c>
      <c r="D2310" t="str">
        <f>"9789633862827"</f>
        <v>9789633862827</v>
      </c>
      <c r="E2310" t="s">
        <v>576</v>
      </c>
      <c r="F2310" s="1">
        <v>43739</v>
      </c>
    </row>
    <row r="2311" spans="1:6" x14ac:dyDescent="0.25">
      <c r="A2311">
        <v>6624791</v>
      </c>
      <c r="B2311" t="s">
        <v>2353</v>
      </c>
      <c r="C2311" t="str">
        <f>"9789633863848"</f>
        <v>9789633863848</v>
      </c>
      <c r="D2311" t="str">
        <f>"9789633863855"</f>
        <v>9789633863855</v>
      </c>
      <c r="E2311" t="s">
        <v>576</v>
      </c>
      <c r="F2311" s="1">
        <v>44075</v>
      </c>
    </row>
    <row r="2312" spans="1:6" x14ac:dyDescent="0.25">
      <c r="A2312">
        <v>6624792</v>
      </c>
      <c r="B2312" t="s">
        <v>2354</v>
      </c>
      <c r="C2312" t="str">
        <f>"9789633863190"</f>
        <v>9789633863190</v>
      </c>
      <c r="D2312" t="str">
        <f>"9789633863206"</f>
        <v>9789633863206</v>
      </c>
      <c r="E2312" t="s">
        <v>576</v>
      </c>
      <c r="F2312" s="1">
        <v>43862</v>
      </c>
    </row>
    <row r="2313" spans="1:6" x14ac:dyDescent="0.25">
      <c r="A2313">
        <v>6627528</v>
      </c>
      <c r="B2313" t="s">
        <v>2355</v>
      </c>
      <c r="C2313" t="str">
        <f>"9783030708832"</f>
        <v>9783030708832</v>
      </c>
      <c r="D2313" t="str">
        <f>"9783030708849"</f>
        <v>9783030708849</v>
      </c>
      <c r="E2313" t="s">
        <v>756</v>
      </c>
      <c r="F2313" s="1">
        <v>44335</v>
      </c>
    </row>
    <row r="2314" spans="1:6" x14ac:dyDescent="0.25">
      <c r="A2314">
        <v>6627534</v>
      </c>
      <c r="B2314" t="s">
        <v>2356</v>
      </c>
      <c r="C2314" t="str">
        <f>"9783030742201"</f>
        <v>9783030742201</v>
      </c>
      <c r="D2314" t="str">
        <f>"9783030742218"</f>
        <v>9783030742218</v>
      </c>
      <c r="E2314" t="s">
        <v>756</v>
      </c>
      <c r="F2314" s="1">
        <v>44335</v>
      </c>
    </row>
    <row r="2315" spans="1:6" x14ac:dyDescent="0.25">
      <c r="A2315">
        <v>6627586</v>
      </c>
      <c r="B2315" t="s">
        <v>2357</v>
      </c>
      <c r="C2315" t="str">
        <f>"9783030689438"</f>
        <v>9783030689438</v>
      </c>
      <c r="D2315" t="str">
        <f>"9783030689445"</f>
        <v>9783030689445</v>
      </c>
      <c r="E2315" t="s">
        <v>756</v>
      </c>
      <c r="F2315" s="1">
        <v>44334</v>
      </c>
    </row>
    <row r="2316" spans="1:6" x14ac:dyDescent="0.25">
      <c r="A2316">
        <v>6627597</v>
      </c>
      <c r="B2316" t="s">
        <v>2358</v>
      </c>
      <c r="C2316" t="str">
        <f>"9783662630167"</f>
        <v>9783662630167</v>
      </c>
      <c r="D2316" t="str">
        <f>"9783662630174"</f>
        <v>9783662630174</v>
      </c>
      <c r="E2316" t="s">
        <v>1852</v>
      </c>
      <c r="F2316" s="1">
        <v>44334</v>
      </c>
    </row>
    <row r="2317" spans="1:6" x14ac:dyDescent="0.25">
      <c r="A2317">
        <v>6627599</v>
      </c>
      <c r="B2317" t="s">
        <v>2359</v>
      </c>
      <c r="C2317" t="str">
        <f>"9783030711429"</f>
        <v>9783030711429</v>
      </c>
      <c r="D2317" t="str">
        <f>"9783030711436"</f>
        <v>9783030711436</v>
      </c>
      <c r="E2317" t="s">
        <v>756</v>
      </c>
      <c r="F2317" s="1">
        <v>44335</v>
      </c>
    </row>
    <row r="2318" spans="1:6" x14ac:dyDescent="0.25">
      <c r="A2318">
        <v>6628087</v>
      </c>
      <c r="B2318" t="s">
        <v>2360</v>
      </c>
      <c r="C2318" t="str">
        <f>"9783030705893"</f>
        <v>9783030705893</v>
      </c>
      <c r="D2318" t="str">
        <f>"9783030705909"</f>
        <v>9783030705909</v>
      </c>
      <c r="E2318" t="s">
        <v>756</v>
      </c>
      <c r="F2318" s="1">
        <v>44336</v>
      </c>
    </row>
    <row r="2319" spans="1:6" x14ac:dyDescent="0.25">
      <c r="A2319">
        <v>6628587</v>
      </c>
      <c r="B2319" t="s">
        <v>2361</v>
      </c>
      <c r="C2319" t="str">
        <f>"9783030451059"</f>
        <v>9783030451059</v>
      </c>
      <c r="D2319" t="str">
        <f>"9783030451066"</f>
        <v>9783030451066</v>
      </c>
      <c r="E2319" t="s">
        <v>756</v>
      </c>
      <c r="F2319" s="1">
        <v>44337</v>
      </c>
    </row>
    <row r="2320" spans="1:6" x14ac:dyDescent="0.25">
      <c r="A2320">
        <v>6628607</v>
      </c>
      <c r="B2320" t="s">
        <v>2362</v>
      </c>
      <c r="C2320" t="str">
        <f>"9783030657673"</f>
        <v>9783030657673</v>
      </c>
      <c r="D2320" t="str">
        <f>"9783030657680"</f>
        <v>9783030657680</v>
      </c>
      <c r="E2320" t="s">
        <v>756</v>
      </c>
      <c r="F2320" s="1">
        <v>44337</v>
      </c>
    </row>
    <row r="2321" spans="1:6" x14ac:dyDescent="0.25">
      <c r="A2321">
        <v>6628611</v>
      </c>
      <c r="B2321" t="s">
        <v>2363</v>
      </c>
      <c r="C2321" t="str">
        <f>"9789811628801"</f>
        <v>9789811628801</v>
      </c>
      <c r="D2321" t="str">
        <f>"9789811628818"</f>
        <v>9789811628818</v>
      </c>
      <c r="E2321" t="s">
        <v>1177</v>
      </c>
      <c r="F2321" s="1">
        <v>44337</v>
      </c>
    </row>
    <row r="2322" spans="1:6" x14ac:dyDescent="0.25">
      <c r="A2322">
        <v>6628984</v>
      </c>
      <c r="B2322" t="s">
        <v>2364</v>
      </c>
      <c r="C2322" t="str">
        <f>""</f>
        <v/>
      </c>
      <c r="D2322" t="str">
        <f>"9789179296322"</f>
        <v>9789179296322</v>
      </c>
      <c r="E2322" t="s">
        <v>1268</v>
      </c>
      <c r="F2322" s="1">
        <v>44337</v>
      </c>
    </row>
    <row r="2323" spans="1:6" x14ac:dyDescent="0.25">
      <c r="A2323">
        <v>6628985</v>
      </c>
      <c r="B2323" t="s">
        <v>2365</v>
      </c>
      <c r="C2323" t="str">
        <f>""</f>
        <v/>
      </c>
      <c r="D2323" t="str">
        <f>"9789179296513"</f>
        <v>9789179296513</v>
      </c>
      <c r="E2323" t="s">
        <v>1268</v>
      </c>
      <c r="F2323" s="1">
        <v>44337</v>
      </c>
    </row>
    <row r="2324" spans="1:6" x14ac:dyDescent="0.25">
      <c r="A2324">
        <v>6628986</v>
      </c>
      <c r="B2324" t="s">
        <v>2366</v>
      </c>
      <c r="C2324" t="str">
        <f>""</f>
        <v/>
      </c>
      <c r="D2324" t="str">
        <f>"9789179296452"</f>
        <v>9789179296452</v>
      </c>
      <c r="E2324" t="s">
        <v>1268</v>
      </c>
      <c r="F2324" s="1">
        <v>44333</v>
      </c>
    </row>
    <row r="2325" spans="1:6" x14ac:dyDescent="0.25">
      <c r="A2325">
        <v>6628987</v>
      </c>
      <c r="B2325" t="s">
        <v>2367</v>
      </c>
      <c r="C2325" t="str">
        <f>""</f>
        <v/>
      </c>
      <c r="D2325" t="str">
        <f>"9789179296742"</f>
        <v>9789179296742</v>
      </c>
      <c r="E2325" t="s">
        <v>1268</v>
      </c>
      <c r="F2325" s="1">
        <v>44258</v>
      </c>
    </row>
    <row r="2326" spans="1:6" x14ac:dyDescent="0.25">
      <c r="A2326">
        <v>6628988</v>
      </c>
      <c r="B2326" t="s">
        <v>2368</v>
      </c>
      <c r="C2326" t="str">
        <f>""</f>
        <v/>
      </c>
      <c r="D2326" t="str">
        <f>"9789179296360"</f>
        <v>9789179296360</v>
      </c>
      <c r="E2326" t="s">
        <v>1268</v>
      </c>
      <c r="F2326" s="1">
        <v>44305</v>
      </c>
    </row>
    <row r="2327" spans="1:6" x14ac:dyDescent="0.25">
      <c r="A2327">
        <v>6628989</v>
      </c>
      <c r="B2327" t="s">
        <v>2369</v>
      </c>
      <c r="C2327" t="str">
        <f>""</f>
        <v/>
      </c>
      <c r="D2327" t="str">
        <f>"9789179296667"</f>
        <v>9789179296667</v>
      </c>
      <c r="E2327" t="s">
        <v>1268</v>
      </c>
      <c r="F2327" s="1">
        <v>44330</v>
      </c>
    </row>
    <row r="2328" spans="1:6" x14ac:dyDescent="0.25">
      <c r="A2328">
        <v>6629016</v>
      </c>
      <c r="B2328" t="s">
        <v>2370</v>
      </c>
      <c r="C2328" t="str">
        <f>"9789811609718"</f>
        <v>9789811609718</v>
      </c>
      <c r="D2328" t="str">
        <f>"9789811609725"</f>
        <v>9789811609725</v>
      </c>
      <c r="E2328" t="s">
        <v>1177</v>
      </c>
      <c r="F2328" s="1">
        <v>44339</v>
      </c>
    </row>
    <row r="2329" spans="1:6" x14ac:dyDescent="0.25">
      <c r="A2329">
        <v>6631043</v>
      </c>
      <c r="B2329" t="s">
        <v>2371</v>
      </c>
      <c r="C2329" t="str">
        <f>"9789027208859"</f>
        <v>9789027208859</v>
      </c>
      <c r="D2329" t="str">
        <f>"9789027259820"</f>
        <v>9789027259820</v>
      </c>
      <c r="E2329" t="s">
        <v>413</v>
      </c>
      <c r="F2329" s="1">
        <v>44363</v>
      </c>
    </row>
    <row r="2330" spans="1:6" x14ac:dyDescent="0.25">
      <c r="A2330">
        <v>6631291</v>
      </c>
      <c r="B2330" t="s">
        <v>2372</v>
      </c>
      <c r="C2330" t="str">
        <f>"9783030772550"</f>
        <v>9783030772550</v>
      </c>
      <c r="D2330" t="str">
        <f>"9783030772567"</f>
        <v>9783030772567</v>
      </c>
      <c r="E2330" t="s">
        <v>756</v>
      </c>
      <c r="F2330" s="1">
        <v>44343</v>
      </c>
    </row>
    <row r="2331" spans="1:6" x14ac:dyDescent="0.25">
      <c r="A2331">
        <v>6631347</v>
      </c>
      <c r="B2331" t="s">
        <v>2373</v>
      </c>
      <c r="C2331" t="str">
        <f>"9783030711016"</f>
        <v>9783030711016</v>
      </c>
      <c r="D2331" t="str">
        <f>"9783030711023"</f>
        <v>9783030711023</v>
      </c>
      <c r="E2331" t="s">
        <v>756</v>
      </c>
      <c r="F2331" s="1">
        <v>44343</v>
      </c>
    </row>
    <row r="2332" spans="1:6" x14ac:dyDescent="0.25">
      <c r="A2332">
        <v>6633237</v>
      </c>
      <c r="B2332" t="s">
        <v>2374</v>
      </c>
      <c r="C2332" t="str">
        <f>"9783030711221"</f>
        <v>9783030711221</v>
      </c>
      <c r="D2332" t="str">
        <f>"9783030711238"</f>
        <v>9783030711238</v>
      </c>
      <c r="E2332" t="s">
        <v>756</v>
      </c>
      <c r="F2332" s="1">
        <v>44345</v>
      </c>
    </row>
    <row r="2333" spans="1:6" x14ac:dyDescent="0.25">
      <c r="A2333">
        <v>6633243</v>
      </c>
      <c r="B2333" t="s">
        <v>2375</v>
      </c>
      <c r="C2333" t="str">
        <f>"9783030742263"</f>
        <v>9783030742263</v>
      </c>
      <c r="D2333" t="str">
        <f>"9783030742270"</f>
        <v>9783030742270</v>
      </c>
      <c r="E2333" t="s">
        <v>756</v>
      </c>
      <c r="F2333" s="1">
        <v>44345</v>
      </c>
    </row>
    <row r="2334" spans="1:6" x14ac:dyDescent="0.25">
      <c r="A2334">
        <v>6633269</v>
      </c>
      <c r="B2334" t="s">
        <v>2376</v>
      </c>
      <c r="C2334" t="str">
        <f>"9783030501990"</f>
        <v>9783030501990</v>
      </c>
      <c r="D2334" t="str">
        <f>"9783030502003"</f>
        <v>9783030502003</v>
      </c>
      <c r="E2334" t="s">
        <v>756</v>
      </c>
      <c r="F2334" s="1">
        <v>44345</v>
      </c>
    </row>
    <row r="2335" spans="1:6" x14ac:dyDescent="0.25">
      <c r="A2335">
        <v>6633279</v>
      </c>
      <c r="B2335" t="s">
        <v>2377</v>
      </c>
      <c r="C2335" t="str">
        <f>""</f>
        <v/>
      </c>
      <c r="D2335" t="str">
        <f>"9789179297015"</f>
        <v>9789179297015</v>
      </c>
      <c r="E2335" t="s">
        <v>1268</v>
      </c>
      <c r="F2335" s="1">
        <v>44314</v>
      </c>
    </row>
    <row r="2336" spans="1:6" x14ac:dyDescent="0.25">
      <c r="A2336">
        <v>6633453</v>
      </c>
      <c r="B2336" t="s">
        <v>2378</v>
      </c>
      <c r="C2336" t="str">
        <f>"9781800640900"</f>
        <v>9781800640900</v>
      </c>
      <c r="D2336" t="str">
        <f>"9781800640917"</f>
        <v>9781800640917</v>
      </c>
      <c r="E2336" t="s">
        <v>580</v>
      </c>
      <c r="F2336" s="1">
        <v>44319</v>
      </c>
    </row>
    <row r="2337" spans="1:6" x14ac:dyDescent="0.25">
      <c r="A2337">
        <v>6633454</v>
      </c>
      <c r="B2337" t="s">
        <v>2379</v>
      </c>
      <c r="C2337" t="str">
        <f>"9781783747702"</f>
        <v>9781783747702</v>
      </c>
      <c r="D2337" t="str">
        <f>"9781783747719"</f>
        <v>9781783747719</v>
      </c>
      <c r="E2337" t="s">
        <v>580</v>
      </c>
      <c r="F2337" s="1">
        <v>44336</v>
      </c>
    </row>
    <row r="2338" spans="1:6" x14ac:dyDescent="0.25">
      <c r="A2338">
        <v>6633455</v>
      </c>
      <c r="B2338" t="s">
        <v>2380</v>
      </c>
      <c r="C2338" t="str">
        <f>"9781800641761"</f>
        <v>9781800641761</v>
      </c>
      <c r="D2338" t="str">
        <f>"9781800641778"</f>
        <v>9781800641778</v>
      </c>
      <c r="E2338" t="s">
        <v>580</v>
      </c>
      <c r="F2338" s="1">
        <v>44347</v>
      </c>
    </row>
    <row r="2339" spans="1:6" x14ac:dyDescent="0.25">
      <c r="A2339">
        <v>6634971</v>
      </c>
      <c r="B2339" t="s">
        <v>2381</v>
      </c>
      <c r="C2339" t="str">
        <f>"9783658338541"</f>
        <v>9783658338541</v>
      </c>
      <c r="D2339" t="str">
        <f>"9783658338558"</f>
        <v>9783658338558</v>
      </c>
      <c r="E2339" t="s">
        <v>1391</v>
      </c>
      <c r="F2339" s="1">
        <v>44348</v>
      </c>
    </row>
    <row r="2340" spans="1:6" x14ac:dyDescent="0.25">
      <c r="A2340">
        <v>6635000</v>
      </c>
      <c r="B2340" t="s">
        <v>2382</v>
      </c>
      <c r="C2340" t="str">
        <f>"9783662630204"</f>
        <v>9783662630204</v>
      </c>
      <c r="D2340" t="str">
        <f>"9783662630211"</f>
        <v>9783662630211</v>
      </c>
      <c r="E2340" t="s">
        <v>1416</v>
      </c>
      <c r="F2340" s="1">
        <v>44348</v>
      </c>
    </row>
    <row r="2341" spans="1:6" x14ac:dyDescent="0.25">
      <c r="A2341">
        <v>6635544</v>
      </c>
      <c r="B2341" t="s">
        <v>2383</v>
      </c>
      <c r="C2341" t="str">
        <f>"9789462984127"</f>
        <v>9789462984127</v>
      </c>
      <c r="D2341" t="str">
        <f>"9789048534623"</f>
        <v>9789048534623</v>
      </c>
      <c r="E2341" t="s">
        <v>59</v>
      </c>
      <c r="F2341" s="1">
        <v>43033</v>
      </c>
    </row>
    <row r="2342" spans="1:6" x14ac:dyDescent="0.25">
      <c r="A2342">
        <v>6635733</v>
      </c>
      <c r="B2342" t="s">
        <v>2384</v>
      </c>
      <c r="C2342" t="str">
        <f>"9789811606533"</f>
        <v>9789811606533</v>
      </c>
      <c r="D2342" t="str">
        <f>"9789811606540"</f>
        <v>9789811606540</v>
      </c>
      <c r="E2342" t="s">
        <v>1177</v>
      </c>
      <c r="F2342" s="1">
        <v>44349</v>
      </c>
    </row>
    <row r="2343" spans="1:6" x14ac:dyDescent="0.25">
      <c r="A2343">
        <v>6636681</v>
      </c>
      <c r="B2343" t="s">
        <v>2385</v>
      </c>
      <c r="C2343" t="str">
        <f>"9783030632335"</f>
        <v>9783030632335</v>
      </c>
      <c r="D2343" t="str">
        <f>"9783030632342"</f>
        <v>9783030632342</v>
      </c>
      <c r="E2343" t="s">
        <v>756</v>
      </c>
      <c r="F2343" s="1">
        <v>44350</v>
      </c>
    </row>
    <row r="2344" spans="1:6" x14ac:dyDescent="0.25">
      <c r="A2344">
        <v>6636687</v>
      </c>
      <c r="B2344" t="s">
        <v>2386</v>
      </c>
      <c r="C2344" t="str">
        <f>"9783030688127"</f>
        <v>9783030688127</v>
      </c>
      <c r="D2344" t="str">
        <f>"9783030688134"</f>
        <v>9783030688134</v>
      </c>
      <c r="E2344" t="s">
        <v>756</v>
      </c>
      <c r="F2344" s="1">
        <v>44350</v>
      </c>
    </row>
    <row r="2345" spans="1:6" x14ac:dyDescent="0.25">
      <c r="A2345">
        <v>6636696</v>
      </c>
      <c r="B2345" t="s">
        <v>2387</v>
      </c>
      <c r="C2345" t="str">
        <f>"9783030708894"</f>
        <v>9783030708894</v>
      </c>
      <c r="D2345" t="str">
        <f>"9783030708900"</f>
        <v>9783030708900</v>
      </c>
      <c r="E2345" t="s">
        <v>756</v>
      </c>
      <c r="F2345" s="1">
        <v>44350</v>
      </c>
    </row>
    <row r="2346" spans="1:6" x14ac:dyDescent="0.25">
      <c r="A2346">
        <v>6637090</v>
      </c>
      <c r="B2346" t="s">
        <v>2388</v>
      </c>
      <c r="C2346" t="str">
        <f>"9783658324995"</f>
        <v>9783658324995</v>
      </c>
      <c r="D2346" t="str">
        <f>"9783658325008"</f>
        <v>9783658325008</v>
      </c>
      <c r="E2346" t="s">
        <v>1391</v>
      </c>
      <c r="F2346" s="1">
        <v>44351</v>
      </c>
    </row>
    <row r="2347" spans="1:6" x14ac:dyDescent="0.25">
      <c r="A2347">
        <v>6637099</v>
      </c>
      <c r="B2347" t="s">
        <v>2389</v>
      </c>
      <c r="C2347" t="str">
        <f>"9783030702496"</f>
        <v>9783030702496</v>
      </c>
      <c r="D2347" t="str">
        <f>"9783030702502"</f>
        <v>9783030702502</v>
      </c>
      <c r="E2347" t="s">
        <v>756</v>
      </c>
      <c r="F2347" s="1">
        <v>44351</v>
      </c>
    </row>
    <row r="2348" spans="1:6" x14ac:dyDescent="0.25">
      <c r="A2348">
        <v>6637327</v>
      </c>
      <c r="B2348" t="s">
        <v>2390</v>
      </c>
      <c r="C2348" t="str">
        <f>""</f>
        <v/>
      </c>
      <c r="D2348" t="str">
        <f>"9788395609558"</f>
        <v>9788395609558</v>
      </c>
      <c r="E2348" t="s">
        <v>73</v>
      </c>
      <c r="F2348" s="1">
        <v>43871</v>
      </c>
    </row>
    <row r="2349" spans="1:6" x14ac:dyDescent="0.25">
      <c r="A2349">
        <v>6637390</v>
      </c>
      <c r="B2349" t="s">
        <v>2391</v>
      </c>
      <c r="C2349" t="str">
        <f>"9783110622027"</f>
        <v>9783110622027</v>
      </c>
      <c r="D2349" t="str">
        <f>"9783110622034"</f>
        <v>9783110622034</v>
      </c>
      <c r="E2349" t="s">
        <v>73</v>
      </c>
      <c r="F2349" s="1">
        <v>43605</v>
      </c>
    </row>
    <row r="2350" spans="1:6" x14ac:dyDescent="0.25">
      <c r="A2350">
        <v>6637394</v>
      </c>
      <c r="B2350" t="s">
        <v>2392</v>
      </c>
      <c r="C2350" t="str">
        <f>""</f>
        <v/>
      </c>
      <c r="D2350" t="str">
        <f>"9783110647495"</f>
        <v>9783110647495</v>
      </c>
      <c r="E2350" t="s">
        <v>73</v>
      </c>
      <c r="F2350" s="1">
        <v>44130</v>
      </c>
    </row>
    <row r="2351" spans="1:6" x14ac:dyDescent="0.25">
      <c r="A2351">
        <v>6637395</v>
      </c>
      <c r="B2351" t="s">
        <v>2393</v>
      </c>
      <c r="C2351" t="str">
        <f>""</f>
        <v/>
      </c>
      <c r="D2351" t="str">
        <f>"9783110639063"</f>
        <v>9783110639063</v>
      </c>
      <c r="E2351" t="s">
        <v>73</v>
      </c>
      <c r="F2351" s="1">
        <v>43570</v>
      </c>
    </row>
    <row r="2352" spans="1:6" x14ac:dyDescent="0.25">
      <c r="A2352">
        <v>6637396</v>
      </c>
      <c r="B2352" t="s">
        <v>2394</v>
      </c>
      <c r="C2352" t="str">
        <f>""</f>
        <v/>
      </c>
      <c r="D2352" t="str">
        <f>"9783110668797"</f>
        <v>9783110668797</v>
      </c>
      <c r="E2352" t="s">
        <v>73</v>
      </c>
      <c r="F2352" s="1">
        <v>44081</v>
      </c>
    </row>
    <row r="2353" spans="1:6" x14ac:dyDescent="0.25">
      <c r="A2353">
        <v>6637398</v>
      </c>
      <c r="B2353" t="s">
        <v>2395</v>
      </c>
      <c r="C2353" t="str">
        <f>""</f>
        <v/>
      </c>
      <c r="D2353" t="str">
        <f>"9783110684384"</f>
        <v>9783110684384</v>
      </c>
      <c r="E2353" t="s">
        <v>73</v>
      </c>
      <c r="F2353" s="1">
        <v>44081</v>
      </c>
    </row>
    <row r="2354" spans="1:6" x14ac:dyDescent="0.25">
      <c r="A2354">
        <v>6637400</v>
      </c>
      <c r="B2354" t="s">
        <v>2396</v>
      </c>
      <c r="C2354" t="str">
        <f>"9783110610444"</f>
        <v>9783110610444</v>
      </c>
      <c r="D2354" t="str">
        <f>"9783110615630"</f>
        <v>9783110615630</v>
      </c>
      <c r="E2354" t="s">
        <v>73</v>
      </c>
      <c r="F2354" s="1">
        <v>43556</v>
      </c>
    </row>
    <row r="2355" spans="1:6" x14ac:dyDescent="0.25">
      <c r="A2355">
        <v>6637401</v>
      </c>
      <c r="B2355" t="s">
        <v>2397</v>
      </c>
      <c r="C2355" t="str">
        <f>""</f>
        <v/>
      </c>
      <c r="D2355" t="str">
        <f>"9783110657746"</f>
        <v>9783110657746</v>
      </c>
      <c r="E2355" t="s">
        <v>73</v>
      </c>
      <c r="F2355" s="1">
        <v>43801</v>
      </c>
    </row>
    <row r="2356" spans="1:6" x14ac:dyDescent="0.25">
      <c r="A2356">
        <v>6637402</v>
      </c>
      <c r="B2356" t="s">
        <v>2398</v>
      </c>
      <c r="C2356" t="str">
        <f>""</f>
        <v/>
      </c>
      <c r="D2356" t="str">
        <f>"9783110697179"</f>
        <v>9783110697179</v>
      </c>
      <c r="E2356" t="s">
        <v>73</v>
      </c>
      <c r="F2356" s="1">
        <v>44130</v>
      </c>
    </row>
    <row r="2357" spans="1:6" x14ac:dyDescent="0.25">
      <c r="A2357">
        <v>6637406</v>
      </c>
      <c r="B2357" t="s">
        <v>2399</v>
      </c>
      <c r="C2357" t="str">
        <f>""</f>
        <v/>
      </c>
      <c r="D2357" t="str">
        <f>"9783110629040"</f>
        <v>9783110629040</v>
      </c>
      <c r="E2357" t="s">
        <v>73</v>
      </c>
      <c r="F2357" s="1">
        <v>43479</v>
      </c>
    </row>
    <row r="2358" spans="1:6" x14ac:dyDescent="0.25">
      <c r="A2358">
        <v>6637407</v>
      </c>
      <c r="B2358" t="s">
        <v>2400</v>
      </c>
      <c r="C2358" t="str">
        <f>""</f>
        <v/>
      </c>
      <c r="D2358" t="str">
        <f>"9783110660586"</f>
        <v>9783110660586</v>
      </c>
      <c r="E2358" t="s">
        <v>73</v>
      </c>
      <c r="F2358" s="1">
        <v>43710</v>
      </c>
    </row>
    <row r="2359" spans="1:6" x14ac:dyDescent="0.25">
      <c r="A2359">
        <v>6637408</v>
      </c>
      <c r="B2359" t="s">
        <v>2401</v>
      </c>
      <c r="C2359" t="str">
        <f>""</f>
        <v/>
      </c>
      <c r="D2359" t="str">
        <f>"9783110667219"</f>
        <v>9783110667219</v>
      </c>
      <c r="E2359" t="s">
        <v>73</v>
      </c>
      <c r="F2359" s="1">
        <v>43941</v>
      </c>
    </row>
    <row r="2360" spans="1:6" x14ac:dyDescent="0.25">
      <c r="A2360">
        <v>6637409</v>
      </c>
      <c r="B2360" t="s">
        <v>2402</v>
      </c>
      <c r="C2360" t="str">
        <f>""</f>
        <v/>
      </c>
      <c r="D2360" t="str">
        <f>"9783110633566"</f>
        <v>9783110633566</v>
      </c>
      <c r="E2360" t="s">
        <v>73</v>
      </c>
      <c r="F2360" s="1">
        <v>43787</v>
      </c>
    </row>
    <row r="2361" spans="1:6" x14ac:dyDescent="0.25">
      <c r="A2361">
        <v>6637411</v>
      </c>
      <c r="B2361" t="s">
        <v>2403</v>
      </c>
      <c r="C2361" t="str">
        <f>""</f>
        <v/>
      </c>
      <c r="D2361" t="str">
        <f>"9783422981454"</f>
        <v>9783422981454</v>
      </c>
      <c r="E2361" t="s">
        <v>2404</v>
      </c>
      <c r="F2361" s="1">
        <v>43759</v>
      </c>
    </row>
    <row r="2362" spans="1:6" x14ac:dyDescent="0.25">
      <c r="A2362">
        <v>6637413</v>
      </c>
      <c r="B2362" t="s">
        <v>2405</v>
      </c>
      <c r="C2362" t="str">
        <f>""</f>
        <v/>
      </c>
      <c r="D2362" t="str">
        <f>"9789048543137"</f>
        <v>9789048543137</v>
      </c>
      <c r="E2362" t="s">
        <v>59</v>
      </c>
      <c r="F2362" s="1">
        <v>43937</v>
      </c>
    </row>
    <row r="2363" spans="1:6" x14ac:dyDescent="0.25">
      <c r="A2363">
        <v>6637415</v>
      </c>
      <c r="B2363" t="s">
        <v>2406</v>
      </c>
      <c r="C2363" t="str">
        <f>"9783110629132"</f>
        <v>9783110629132</v>
      </c>
      <c r="D2363" t="str">
        <f>"9783110629156"</f>
        <v>9783110629156</v>
      </c>
      <c r="E2363" t="s">
        <v>73</v>
      </c>
      <c r="F2363" s="1">
        <v>43494</v>
      </c>
    </row>
    <row r="2364" spans="1:6" x14ac:dyDescent="0.25">
      <c r="A2364">
        <v>6637417</v>
      </c>
      <c r="B2364" t="s">
        <v>2407</v>
      </c>
      <c r="C2364" t="str">
        <f>"9783110614466"</f>
        <v>9783110614466</v>
      </c>
      <c r="D2364" t="str">
        <f>"9783110614442"</f>
        <v>9783110614442</v>
      </c>
      <c r="E2364" t="s">
        <v>73</v>
      </c>
      <c r="F2364" s="1">
        <v>43731</v>
      </c>
    </row>
    <row r="2365" spans="1:6" x14ac:dyDescent="0.25">
      <c r="A2365">
        <v>6637419</v>
      </c>
      <c r="B2365" t="s">
        <v>2408</v>
      </c>
      <c r="C2365" t="str">
        <f>""</f>
        <v/>
      </c>
      <c r="D2365" t="str">
        <f>"9789048544271"</f>
        <v>9789048544271</v>
      </c>
      <c r="E2365" t="s">
        <v>59</v>
      </c>
      <c r="F2365" s="1">
        <v>43776</v>
      </c>
    </row>
    <row r="2366" spans="1:6" x14ac:dyDescent="0.25">
      <c r="A2366">
        <v>6637431</v>
      </c>
      <c r="B2366" t="s">
        <v>2409</v>
      </c>
      <c r="C2366" t="str">
        <f>""</f>
        <v/>
      </c>
      <c r="D2366" t="str">
        <f>"9783110668902"</f>
        <v>9783110668902</v>
      </c>
      <c r="E2366" t="s">
        <v>73</v>
      </c>
      <c r="F2366" s="1">
        <v>44144</v>
      </c>
    </row>
    <row r="2367" spans="1:6" x14ac:dyDescent="0.25">
      <c r="A2367">
        <v>6637432</v>
      </c>
      <c r="B2367" t="s">
        <v>2410</v>
      </c>
      <c r="C2367" t="str">
        <f>"9781641891455"</f>
        <v>9781641891455</v>
      </c>
      <c r="D2367" t="str">
        <f>"9781641891462"</f>
        <v>9781641891462</v>
      </c>
      <c r="E2367" t="s">
        <v>1186</v>
      </c>
      <c r="F2367" s="1">
        <v>43890</v>
      </c>
    </row>
    <row r="2368" spans="1:6" x14ac:dyDescent="0.25">
      <c r="A2368">
        <v>6637433</v>
      </c>
      <c r="B2368" t="s">
        <v>2411</v>
      </c>
      <c r="C2368" t="str">
        <f>""</f>
        <v/>
      </c>
      <c r="D2368" t="str">
        <f>"9783110662955"</f>
        <v>9783110662955</v>
      </c>
      <c r="E2368" t="s">
        <v>73</v>
      </c>
      <c r="F2368" s="1">
        <v>43591</v>
      </c>
    </row>
    <row r="2369" spans="1:6" x14ac:dyDescent="0.25">
      <c r="A2369">
        <v>6637434</v>
      </c>
      <c r="B2369" t="s">
        <v>2412</v>
      </c>
      <c r="C2369" t="str">
        <f>""</f>
        <v/>
      </c>
      <c r="D2369" t="str">
        <f>"9783110641813"</f>
        <v>9783110641813</v>
      </c>
      <c r="E2369" t="s">
        <v>73</v>
      </c>
      <c r="F2369" s="1">
        <v>44158</v>
      </c>
    </row>
    <row r="2370" spans="1:6" x14ac:dyDescent="0.25">
      <c r="A2370">
        <v>6637437</v>
      </c>
      <c r="B2370" t="s">
        <v>2413</v>
      </c>
      <c r="C2370" t="str">
        <f>"9783110617238"</f>
        <v>9783110617238</v>
      </c>
      <c r="D2370" t="str">
        <f>"9783110617245"</f>
        <v>9783110617245</v>
      </c>
      <c r="E2370" t="s">
        <v>73</v>
      </c>
      <c r="F2370" s="1">
        <v>43620</v>
      </c>
    </row>
    <row r="2371" spans="1:6" x14ac:dyDescent="0.25">
      <c r="A2371">
        <v>6637438</v>
      </c>
      <c r="B2371" t="s">
        <v>2414</v>
      </c>
      <c r="C2371" t="str">
        <f>""</f>
        <v/>
      </c>
      <c r="D2371" t="str">
        <f>"9789048550203"</f>
        <v>9789048550203</v>
      </c>
      <c r="E2371" t="s">
        <v>59</v>
      </c>
      <c r="F2371" s="1">
        <v>43811</v>
      </c>
    </row>
    <row r="2372" spans="1:6" x14ac:dyDescent="0.25">
      <c r="A2372">
        <v>6637440</v>
      </c>
      <c r="B2372" t="s">
        <v>2415</v>
      </c>
      <c r="C2372" t="str">
        <f>""</f>
        <v/>
      </c>
      <c r="D2372" t="str">
        <f>"9783110627176"</f>
        <v>9783110627176</v>
      </c>
      <c r="E2372" t="s">
        <v>73</v>
      </c>
      <c r="F2372" s="1">
        <v>44249</v>
      </c>
    </row>
    <row r="2373" spans="1:6" x14ac:dyDescent="0.25">
      <c r="A2373">
        <v>6637441</v>
      </c>
      <c r="B2373" t="s">
        <v>2416</v>
      </c>
      <c r="C2373" t="str">
        <f>""</f>
        <v/>
      </c>
      <c r="D2373" t="str">
        <f>"9783110642261"</f>
        <v>9783110642261</v>
      </c>
      <c r="E2373" t="s">
        <v>73</v>
      </c>
      <c r="F2373" s="1">
        <v>43528</v>
      </c>
    </row>
    <row r="2374" spans="1:6" x14ac:dyDescent="0.25">
      <c r="A2374">
        <v>6637447</v>
      </c>
      <c r="B2374" t="s">
        <v>2417</v>
      </c>
      <c r="C2374" t="str">
        <f>""</f>
        <v/>
      </c>
      <c r="D2374" t="str">
        <f>"9789048529056"</f>
        <v>9789048529056</v>
      </c>
      <c r="E2374" t="s">
        <v>59</v>
      </c>
      <c r="F2374" s="1">
        <v>44014</v>
      </c>
    </row>
    <row r="2375" spans="1:6" x14ac:dyDescent="0.25">
      <c r="A2375">
        <v>6637450</v>
      </c>
      <c r="B2375" t="s">
        <v>2418</v>
      </c>
      <c r="C2375" t="str">
        <f>""</f>
        <v/>
      </c>
      <c r="D2375" t="str">
        <f>"9783110668926"</f>
        <v>9783110668926</v>
      </c>
      <c r="E2375" t="s">
        <v>73</v>
      </c>
      <c r="F2375" s="1">
        <v>44172</v>
      </c>
    </row>
    <row r="2376" spans="1:6" x14ac:dyDescent="0.25">
      <c r="A2376">
        <v>6637451</v>
      </c>
      <c r="B2376" t="s">
        <v>2419</v>
      </c>
      <c r="C2376" t="str">
        <f>""</f>
        <v/>
      </c>
      <c r="D2376" t="str">
        <f>"9783110671773"</f>
        <v>9783110671773</v>
      </c>
      <c r="E2376" t="s">
        <v>73</v>
      </c>
      <c r="F2376" s="1">
        <v>44130</v>
      </c>
    </row>
    <row r="2377" spans="1:6" x14ac:dyDescent="0.25">
      <c r="A2377">
        <v>6637452</v>
      </c>
      <c r="B2377" t="s">
        <v>2420</v>
      </c>
      <c r="C2377" t="str">
        <f>""</f>
        <v/>
      </c>
      <c r="D2377" t="str">
        <f>"9783110622300"</f>
        <v>9783110622300</v>
      </c>
      <c r="E2377" t="s">
        <v>73</v>
      </c>
      <c r="F2377" s="1">
        <v>43731</v>
      </c>
    </row>
    <row r="2378" spans="1:6" x14ac:dyDescent="0.25">
      <c r="A2378">
        <v>6637456</v>
      </c>
      <c r="B2378" t="s">
        <v>2421</v>
      </c>
      <c r="C2378" t="str">
        <f>""</f>
        <v/>
      </c>
      <c r="D2378" t="str">
        <f>"9783110655582"</f>
        <v>9783110655582</v>
      </c>
      <c r="E2378" t="s">
        <v>73</v>
      </c>
      <c r="F2378" s="1">
        <v>44095</v>
      </c>
    </row>
    <row r="2379" spans="1:6" x14ac:dyDescent="0.25">
      <c r="A2379">
        <v>6637462</v>
      </c>
      <c r="B2379" t="s">
        <v>2422</v>
      </c>
      <c r="C2379" t="str">
        <f>""</f>
        <v/>
      </c>
      <c r="D2379" t="str">
        <f>"9789048544509"</f>
        <v>9789048544509</v>
      </c>
      <c r="E2379" t="s">
        <v>59</v>
      </c>
      <c r="F2379" s="1">
        <v>43808</v>
      </c>
    </row>
    <row r="2380" spans="1:6" x14ac:dyDescent="0.25">
      <c r="A2380">
        <v>6637463</v>
      </c>
      <c r="B2380" t="s">
        <v>2423</v>
      </c>
      <c r="C2380" t="str">
        <f>""</f>
        <v/>
      </c>
      <c r="D2380" t="str">
        <f>"9783110652741"</f>
        <v>9783110652741</v>
      </c>
      <c r="E2380" t="s">
        <v>73</v>
      </c>
      <c r="F2380" s="1">
        <v>43620</v>
      </c>
    </row>
    <row r="2381" spans="1:6" x14ac:dyDescent="0.25">
      <c r="A2381">
        <v>6637464</v>
      </c>
      <c r="B2381" t="s">
        <v>2424</v>
      </c>
      <c r="C2381" t="str">
        <f>""</f>
        <v/>
      </c>
      <c r="D2381" t="str">
        <f>"9789048537846"</f>
        <v>9789048537846</v>
      </c>
      <c r="E2381" t="s">
        <v>59</v>
      </c>
      <c r="F2381" s="1">
        <v>43723</v>
      </c>
    </row>
    <row r="2382" spans="1:6" x14ac:dyDescent="0.25">
      <c r="A2382">
        <v>6637466</v>
      </c>
      <c r="B2382" t="s">
        <v>2425</v>
      </c>
      <c r="C2382" t="str">
        <f>""</f>
        <v/>
      </c>
      <c r="D2382" t="str">
        <f>"9781501516948"</f>
        <v>9781501516948</v>
      </c>
      <c r="E2382" t="s">
        <v>53</v>
      </c>
      <c r="F2382" s="1">
        <v>43787</v>
      </c>
    </row>
    <row r="2383" spans="1:6" x14ac:dyDescent="0.25">
      <c r="A2383">
        <v>6637469</v>
      </c>
      <c r="B2383" t="s">
        <v>2426</v>
      </c>
      <c r="C2383" t="str">
        <f>""</f>
        <v/>
      </c>
      <c r="D2383" t="str">
        <f>"9783110677263"</f>
        <v>9783110677263</v>
      </c>
      <c r="E2383" t="s">
        <v>73</v>
      </c>
      <c r="F2383" s="1">
        <v>44053</v>
      </c>
    </row>
    <row r="2384" spans="1:6" x14ac:dyDescent="0.25">
      <c r="A2384">
        <v>6637470</v>
      </c>
      <c r="B2384" t="s">
        <v>2427</v>
      </c>
      <c r="C2384" t="str">
        <f>""</f>
        <v/>
      </c>
      <c r="D2384" t="str">
        <f>"9783110689402"</f>
        <v>9783110689402</v>
      </c>
      <c r="E2384" t="s">
        <v>73</v>
      </c>
      <c r="F2384" s="1">
        <v>44081</v>
      </c>
    </row>
    <row r="2385" spans="1:6" x14ac:dyDescent="0.25">
      <c r="A2385">
        <v>6637472</v>
      </c>
      <c r="B2385" t="s">
        <v>2428</v>
      </c>
      <c r="C2385" t="str">
        <f>""</f>
        <v/>
      </c>
      <c r="D2385" t="str">
        <f>"9783110634440"</f>
        <v>9783110634440</v>
      </c>
      <c r="E2385" t="s">
        <v>73</v>
      </c>
      <c r="F2385" s="1">
        <v>44004</v>
      </c>
    </row>
    <row r="2386" spans="1:6" x14ac:dyDescent="0.25">
      <c r="A2386">
        <v>6637473</v>
      </c>
      <c r="B2386" t="s">
        <v>2429</v>
      </c>
      <c r="C2386" t="str">
        <f>""</f>
        <v/>
      </c>
      <c r="D2386" t="str">
        <f>"9783110671490"</f>
        <v>9783110671490</v>
      </c>
      <c r="E2386" t="s">
        <v>73</v>
      </c>
      <c r="F2386" s="1">
        <v>44181</v>
      </c>
    </row>
    <row r="2387" spans="1:6" x14ac:dyDescent="0.25">
      <c r="A2387">
        <v>6637477</v>
      </c>
      <c r="B2387" t="s">
        <v>2430</v>
      </c>
      <c r="C2387" t="str">
        <f>""</f>
        <v/>
      </c>
      <c r="D2387" t="str">
        <f>"9783110652543"</f>
        <v>9783110652543</v>
      </c>
      <c r="E2387" t="s">
        <v>73</v>
      </c>
      <c r="F2387" s="1">
        <v>43787</v>
      </c>
    </row>
    <row r="2388" spans="1:6" x14ac:dyDescent="0.25">
      <c r="A2388">
        <v>6637485</v>
      </c>
      <c r="B2388" t="s">
        <v>2431</v>
      </c>
      <c r="C2388" t="str">
        <f>""</f>
        <v/>
      </c>
      <c r="D2388" t="str">
        <f>"9783110618839"</f>
        <v>9783110618839</v>
      </c>
      <c r="E2388" t="s">
        <v>73</v>
      </c>
      <c r="F2388" s="1">
        <v>43956</v>
      </c>
    </row>
    <row r="2389" spans="1:6" x14ac:dyDescent="0.25">
      <c r="A2389">
        <v>6637489</v>
      </c>
      <c r="B2389" t="s">
        <v>2432</v>
      </c>
      <c r="C2389" t="str">
        <f>""</f>
        <v/>
      </c>
      <c r="D2389" t="str">
        <f>"9783110665093"</f>
        <v>9783110665093</v>
      </c>
      <c r="E2389" t="s">
        <v>73</v>
      </c>
      <c r="F2389" s="1">
        <v>44032</v>
      </c>
    </row>
    <row r="2390" spans="1:6" x14ac:dyDescent="0.25">
      <c r="A2390">
        <v>6637491</v>
      </c>
      <c r="B2390" t="s">
        <v>2433</v>
      </c>
      <c r="C2390" t="str">
        <f>"9783110608113"</f>
        <v>9783110608113</v>
      </c>
      <c r="D2390" t="str">
        <f>"9783110629057"</f>
        <v>9783110629057</v>
      </c>
      <c r="E2390" t="s">
        <v>73</v>
      </c>
      <c r="F2390" s="1">
        <v>43542</v>
      </c>
    </row>
    <row r="2391" spans="1:6" x14ac:dyDescent="0.25">
      <c r="A2391">
        <v>6637493</v>
      </c>
      <c r="B2391" t="s">
        <v>2434</v>
      </c>
      <c r="C2391" t="str">
        <f>""</f>
        <v/>
      </c>
      <c r="D2391" t="str">
        <f>"9789048551873"</f>
        <v>9789048551873</v>
      </c>
      <c r="E2391" t="s">
        <v>59</v>
      </c>
      <c r="F2391" s="1">
        <v>43952</v>
      </c>
    </row>
    <row r="2392" spans="1:6" x14ac:dyDescent="0.25">
      <c r="A2392">
        <v>6637495</v>
      </c>
      <c r="B2392" t="s">
        <v>2435</v>
      </c>
      <c r="C2392" t="str">
        <f>""</f>
        <v/>
      </c>
      <c r="D2392" t="str">
        <f>"9783110669367"</f>
        <v>9783110669367</v>
      </c>
      <c r="E2392" t="s">
        <v>73</v>
      </c>
      <c r="F2392" s="1">
        <v>44158</v>
      </c>
    </row>
    <row r="2393" spans="1:6" x14ac:dyDescent="0.25">
      <c r="A2393">
        <v>6637496</v>
      </c>
      <c r="B2393" t="s">
        <v>2436</v>
      </c>
      <c r="C2393" t="str">
        <f>""</f>
        <v/>
      </c>
      <c r="D2393" t="str">
        <f>"9789048535002"</f>
        <v>9789048535002</v>
      </c>
      <c r="E2393" t="s">
        <v>59</v>
      </c>
      <c r="F2393" s="1">
        <v>43738</v>
      </c>
    </row>
    <row r="2394" spans="1:6" x14ac:dyDescent="0.25">
      <c r="A2394">
        <v>6637497</v>
      </c>
      <c r="B2394" t="s">
        <v>2437</v>
      </c>
      <c r="C2394" t="str">
        <f>"9783110622041"</f>
        <v>9783110622041</v>
      </c>
      <c r="D2394" t="str">
        <f>"9783110622096"</f>
        <v>9783110622096</v>
      </c>
      <c r="E2394" t="s">
        <v>73</v>
      </c>
      <c r="F2394" s="1">
        <v>43542</v>
      </c>
    </row>
    <row r="2395" spans="1:6" x14ac:dyDescent="0.25">
      <c r="A2395">
        <v>6637498</v>
      </c>
      <c r="B2395" t="s">
        <v>2438</v>
      </c>
      <c r="C2395" t="str">
        <f>""</f>
        <v/>
      </c>
      <c r="D2395" t="str">
        <f>"9783110628715"</f>
        <v>9783110628715</v>
      </c>
      <c r="E2395" t="s">
        <v>73</v>
      </c>
      <c r="F2395" s="1">
        <v>43620</v>
      </c>
    </row>
    <row r="2396" spans="1:6" x14ac:dyDescent="0.25">
      <c r="A2396">
        <v>6637504</v>
      </c>
      <c r="B2396" t="s">
        <v>2439</v>
      </c>
      <c r="C2396" t="str">
        <f>""</f>
        <v/>
      </c>
      <c r="D2396" t="str">
        <f>"9783110641042"</f>
        <v>9783110641042</v>
      </c>
      <c r="E2396" t="s">
        <v>73</v>
      </c>
      <c r="F2396" s="1">
        <v>43746</v>
      </c>
    </row>
    <row r="2397" spans="1:6" x14ac:dyDescent="0.25">
      <c r="A2397">
        <v>6637506</v>
      </c>
      <c r="B2397" t="s">
        <v>2440</v>
      </c>
      <c r="C2397" t="str">
        <f>"9783110589603"</f>
        <v>9783110589603</v>
      </c>
      <c r="D2397" t="str">
        <f>"9783110591040"</f>
        <v>9783110591040</v>
      </c>
      <c r="E2397" t="s">
        <v>73</v>
      </c>
      <c r="F2397" s="1">
        <v>43710</v>
      </c>
    </row>
    <row r="2398" spans="1:6" x14ac:dyDescent="0.25">
      <c r="A2398">
        <v>6637510</v>
      </c>
      <c r="B2398" t="s">
        <v>2441</v>
      </c>
      <c r="C2398" t="str">
        <f>""</f>
        <v/>
      </c>
      <c r="D2398" t="str">
        <f>"9783110639452"</f>
        <v>9783110639452</v>
      </c>
      <c r="E2398" t="s">
        <v>73</v>
      </c>
      <c r="F2398" s="1">
        <v>44305</v>
      </c>
    </row>
    <row r="2399" spans="1:6" x14ac:dyDescent="0.25">
      <c r="A2399">
        <v>6637512</v>
      </c>
      <c r="B2399" t="s">
        <v>2442</v>
      </c>
      <c r="C2399" t="str">
        <f>""</f>
        <v/>
      </c>
      <c r="D2399" t="str">
        <f>"9783110624113"</f>
        <v>9783110624113</v>
      </c>
      <c r="E2399" t="s">
        <v>73</v>
      </c>
      <c r="F2399" s="1">
        <v>43620</v>
      </c>
    </row>
    <row r="2400" spans="1:6" x14ac:dyDescent="0.25">
      <c r="A2400">
        <v>6637515</v>
      </c>
      <c r="B2400" t="s">
        <v>2443</v>
      </c>
      <c r="C2400" t="str">
        <f>""</f>
        <v/>
      </c>
      <c r="D2400" t="str">
        <f>"9783035619195"</f>
        <v>9783035619195</v>
      </c>
      <c r="E2400" t="s">
        <v>73</v>
      </c>
      <c r="F2400" s="1">
        <v>43542</v>
      </c>
    </row>
    <row r="2401" spans="1:6" x14ac:dyDescent="0.25">
      <c r="A2401">
        <v>6637519</v>
      </c>
      <c r="B2401" t="s">
        <v>2444</v>
      </c>
      <c r="C2401" t="str">
        <f>""</f>
        <v/>
      </c>
      <c r="D2401" t="str">
        <f>"9783110689112"</f>
        <v>9783110689112</v>
      </c>
      <c r="E2401" t="s">
        <v>73</v>
      </c>
      <c r="F2401" s="1">
        <v>44130</v>
      </c>
    </row>
    <row r="2402" spans="1:6" x14ac:dyDescent="0.25">
      <c r="A2402">
        <v>6637521</v>
      </c>
      <c r="B2402" t="s">
        <v>2445</v>
      </c>
      <c r="C2402" t="str">
        <f>""</f>
        <v/>
      </c>
      <c r="D2402" t="str">
        <f>"9783110674088"</f>
        <v>9783110674088</v>
      </c>
      <c r="E2402" t="s">
        <v>73</v>
      </c>
      <c r="F2402" s="1">
        <v>44144</v>
      </c>
    </row>
    <row r="2403" spans="1:6" x14ac:dyDescent="0.25">
      <c r="A2403">
        <v>6637524</v>
      </c>
      <c r="B2403" t="s">
        <v>2446</v>
      </c>
      <c r="C2403" t="str">
        <f>""</f>
        <v/>
      </c>
      <c r="D2403" t="str">
        <f>"9783110661576"</f>
        <v>9783110661576</v>
      </c>
      <c r="E2403" t="s">
        <v>73</v>
      </c>
      <c r="F2403" s="1">
        <v>43759</v>
      </c>
    </row>
    <row r="2404" spans="1:6" x14ac:dyDescent="0.25">
      <c r="A2404">
        <v>6637526</v>
      </c>
      <c r="B2404" t="s">
        <v>2447</v>
      </c>
      <c r="C2404" t="str">
        <f>""</f>
        <v/>
      </c>
      <c r="D2404" t="str">
        <f>"9783110647044"</f>
        <v>9783110647044</v>
      </c>
      <c r="E2404" t="s">
        <v>73</v>
      </c>
      <c r="F2404" s="1">
        <v>44067</v>
      </c>
    </row>
    <row r="2405" spans="1:6" x14ac:dyDescent="0.25">
      <c r="A2405">
        <v>6637527</v>
      </c>
      <c r="B2405" t="s">
        <v>2448</v>
      </c>
      <c r="C2405" t="str">
        <f>""</f>
        <v/>
      </c>
      <c r="D2405" t="str">
        <f>"9783110656725"</f>
        <v>9783110656725</v>
      </c>
      <c r="E2405" t="s">
        <v>73</v>
      </c>
      <c r="F2405" s="1">
        <v>43556</v>
      </c>
    </row>
    <row r="2406" spans="1:6" x14ac:dyDescent="0.25">
      <c r="A2406">
        <v>6637528</v>
      </c>
      <c r="B2406" t="s">
        <v>2449</v>
      </c>
      <c r="C2406" t="str">
        <f>""</f>
        <v/>
      </c>
      <c r="D2406" t="str">
        <f>"9783110638127"</f>
        <v>9783110638127</v>
      </c>
      <c r="E2406" t="s">
        <v>73</v>
      </c>
      <c r="F2406" s="1">
        <v>44172</v>
      </c>
    </row>
    <row r="2407" spans="1:6" x14ac:dyDescent="0.25">
      <c r="A2407">
        <v>6637529</v>
      </c>
      <c r="B2407" t="s">
        <v>2450</v>
      </c>
      <c r="C2407" t="str">
        <f>""</f>
        <v/>
      </c>
      <c r="D2407" t="str">
        <f>"9789048540020"</f>
        <v>9789048540020</v>
      </c>
      <c r="E2407" t="s">
        <v>59</v>
      </c>
      <c r="F2407" s="1">
        <v>43572</v>
      </c>
    </row>
    <row r="2408" spans="1:6" x14ac:dyDescent="0.25">
      <c r="A2408">
        <v>6637532</v>
      </c>
      <c r="B2408" t="s">
        <v>2451</v>
      </c>
      <c r="C2408" t="str">
        <f>""</f>
        <v/>
      </c>
      <c r="D2408" t="str">
        <f>"9783110695380"</f>
        <v>9783110695380</v>
      </c>
      <c r="E2408" t="s">
        <v>73</v>
      </c>
      <c r="F2408" s="1">
        <v>44032</v>
      </c>
    </row>
    <row r="2409" spans="1:6" x14ac:dyDescent="0.25">
      <c r="A2409">
        <v>6637533</v>
      </c>
      <c r="B2409" t="s">
        <v>2452</v>
      </c>
      <c r="C2409" t="str">
        <f>""</f>
        <v/>
      </c>
      <c r="D2409" t="str">
        <f>"9789048550180"</f>
        <v>9789048550180</v>
      </c>
      <c r="E2409" t="s">
        <v>59</v>
      </c>
      <c r="F2409" s="1">
        <v>43461</v>
      </c>
    </row>
    <row r="2410" spans="1:6" x14ac:dyDescent="0.25">
      <c r="A2410">
        <v>6637537</v>
      </c>
      <c r="B2410" t="s">
        <v>2453</v>
      </c>
      <c r="C2410" t="str">
        <f>"9783110617658"</f>
        <v>9783110617658</v>
      </c>
      <c r="D2410" t="str">
        <f>"9783110621051"</f>
        <v>9783110621051</v>
      </c>
      <c r="E2410" t="s">
        <v>73</v>
      </c>
      <c r="F2410" s="1">
        <v>43710</v>
      </c>
    </row>
    <row r="2411" spans="1:6" x14ac:dyDescent="0.25">
      <c r="A2411">
        <v>6637538</v>
      </c>
      <c r="B2411" t="s">
        <v>2454</v>
      </c>
      <c r="C2411" t="str">
        <f>""</f>
        <v/>
      </c>
      <c r="D2411" t="str">
        <f>"9783110627121"</f>
        <v>9783110627121</v>
      </c>
      <c r="E2411" t="s">
        <v>73</v>
      </c>
      <c r="F2411" s="1">
        <v>43696</v>
      </c>
    </row>
    <row r="2412" spans="1:6" x14ac:dyDescent="0.25">
      <c r="A2412">
        <v>6637539</v>
      </c>
      <c r="B2412" t="s">
        <v>2455</v>
      </c>
      <c r="C2412" t="str">
        <f>""</f>
        <v/>
      </c>
      <c r="D2412" t="str">
        <f>"9783110693973"</f>
        <v>9783110693973</v>
      </c>
      <c r="E2412" t="s">
        <v>73</v>
      </c>
      <c r="F2412" s="1">
        <v>44032</v>
      </c>
    </row>
    <row r="2413" spans="1:6" x14ac:dyDescent="0.25">
      <c r="A2413">
        <v>6637541</v>
      </c>
      <c r="B2413" t="s">
        <v>2456</v>
      </c>
      <c r="C2413" t="str">
        <f>""</f>
        <v/>
      </c>
      <c r="D2413" t="str">
        <f>"9783110692174"</f>
        <v>9783110692174</v>
      </c>
      <c r="E2413" t="s">
        <v>73</v>
      </c>
      <c r="F2413" s="1">
        <v>44032</v>
      </c>
    </row>
    <row r="2414" spans="1:6" x14ac:dyDescent="0.25">
      <c r="A2414">
        <v>6637544</v>
      </c>
      <c r="B2414" t="s">
        <v>2457</v>
      </c>
      <c r="C2414" t="str">
        <f>""</f>
        <v/>
      </c>
      <c r="D2414" t="str">
        <f>"9783110669831"</f>
        <v>9783110669831</v>
      </c>
      <c r="E2414" t="s">
        <v>73</v>
      </c>
      <c r="F2414" s="1">
        <v>44116</v>
      </c>
    </row>
    <row r="2415" spans="1:6" x14ac:dyDescent="0.25">
      <c r="A2415">
        <v>6637545</v>
      </c>
      <c r="B2415" t="s">
        <v>2458</v>
      </c>
      <c r="C2415" t="str">
        <f>"9783110596786"</f>
        <v>9783110596786</v>
      </c>
      <c r="D2415" t="str">
        <f>"9783110599572"</f>
        <v>9783110599572</v>
      </c>
      <c r="E2415" t="s">
        <v>73</v>
      </c>
      <c r="F2415" s="1">
        <v>43682</v>
      </c>
    </row>
    <row r="2416" spans="1:6" x14ac:dyDescent="0.25">
      <c r="A2416">
        <v>6637546</v>
      </c>
      <c r="B2416" t="s">
        <v>2459</v>
      </c>
      <c r="C2416" t="str">
        <f>""</f>
        <v/>
      </c>
      <c r="D2416" t="str">
        <f>"9783110611229"</f>
        <v>9783110611229</v>
      </c>
      <c r="E2416" t="s">
        <v>73</v>
      </c>
      <c r="F2416" s="1">
        <v>44277</v>
      </c>
    </row>
    <row r="2417" spans="1:6" x14ac:dyDescent="0.25">
      <c r="A2417">
        <v>6637548</v>
      </c>
      <c r="B2417" t="s">
        <v>2460</v>
      </c>
      <c r="C2417" t="str">
        <f>""</f>
        <v/>
      </c>
      <c r="D2417" t="str">
        <f>"9789048544905"</f>
        <v>9789048544905</v>
      </c>
      <c r="E2417" t="s">
        <v>59</v>
      </c>
      <c r="F2417" s="1">
        <v>43816</v>
      </c>
    </row>
    <row r="2418" spans="1:6" x14ac:dyDescent="0.25">
      <c r="A2418">
        <v>6637551</v>
      </c>
      <c r="B2418" t="s">
        <v>2461</v>
      </c>
      <c r="C2418" t="str">
        <f>""</f>
        <v/>
      </c>
      <c r="D2418" t="str">
        <f>"9783110664546"</f>
        <v>9783110664546</v>
      </c>
      <c r="E2418" t="s">
        <v>73</v>
      </c>
      <c r="F2418" s="1">
        <v>43969</v>
      </c>
    </row>
    <row r="2419" spans="1:6" x14ac:dyDescent="0.25">
      <c r="A2419">
        <v>6637552</v>
      </c>
      <c r="B2419" t="s">
        <v>2462</v>
      </c>
      <c r="C2419" t="str">
        <f>""</f>
        <v/>
      </c>
      <c r="D2419" t="str">
        <f>"9783110665833"</f>
        <v>9783110665833</v>
      </c>
      <c r="E2419" t="s">
        <v>73</v>
      </c>
      <c r="F2419" s="1">
        <v>43787</v>
      </c>
    </row>
    <row r="2420" spans="1:6" x14ac:dyDescent="0.25">
      <c r="A2420">
        <v>6637554</v>
      </c>
      <c r="B2420" t="s">
        <v>2463</v>
      </c>
      <c r="C2420" t="str">
        <f>""</f>
        <v/>
      </c>
      <c r="D2420" t="str">
        <f>"9783110693959"</f>
        <v>9783110693959</v>
      </c>
      <c r="E2420" t="s">
        <v>73</v>
      </c>
      <c r="F2420" s="1">
        <v>44081</v>
      </c>
    </row>
    <row r="2421" spans="1:6" x14ac:dyDescent="0.25">
      <c r="A2421">
        <v>6637557</v>
      </c>
      <c r="B2421" t="s">
        <v>2464</v>
      </c>
      <c r="C2421" t="str">
        <f>""</f>
        <v/>
      </c>
      <c r="D2421" t="str">
        <f>"9783110628777"</f>
        <v>9783110628777</v>
      </c>
      <c r="E2421" t="s">
        <v>73</v>
      </c>
      <c r="F2421" s="1">
        <v>43633</v>
      </c>
    </row>
    <row r="2422" spans="1:6" x14ac:dyDescent="0.25">
      <c r="A2422">
        <v>6637560</v>
      </c>
      <c r="B2422" t="s">
        <v>2465</v>
      </c>
      <c r="C2422" t="str">
        <f>""</f>
        <v/>
      </c>
      <c r="D2422" t="str">
        <f>"9783110664713"</f>
        <v>9783110664713</v>
      </c>
      <c r="E2422" t="s">
        <v>73</v>
      </c>
      <c r="F2422" s="1">
        <v>43899</v>
      </c>
    </row>
    <row r="2423" spans="1:6" x14ac:dyDescent="0.25">
      <c r="A2423">
        <v>6637561</v>
      </c>
      <c r="B2423" t="s">
        <v>2466</v>
      </c>
      <c r="C2423" t="str">
        <f>"9783110600858"</f>
        <v>9783110600858</v>
      </c>
      <c r="D2423" t="str">
        <f>"9783110599978"</f>
        <v>9783110599978</v>
      </c>
      <c r="E2423" t="s">
        <v>73</v>
      </c>
      <c r="F2423" s="1">
        <v>44116</v>
      </c>
    </row>
    <row r="2424" spans="1:6" x14ac:dyDescent="0.25">
      <c r="A2424">
        <v>6637564</v>
      </c>
      <c r="B2424" t="s">
        <v>2467</v>
      </c>
      <c r="C2424" t="str">
        <f>""</f>
        <v/>
      </c>
      <c r="D2424" t="str">
        <f>"9783110649789"</f>
        <v>9783110649789</v>
      </c>
      <c r="E2424" t="s">
        <v>73</v>
      </c>
      <c r="F2424" s="1">
        <v>43766</v>
      </c>
    </row>
    <row r="2425" spans="1:6" x14ac:dyDescent="0.25">
      <c r="A2425">
        <v>6637567</v>
      </c>
      <c r="B2425" t="s">
        <v>2468</v>
      </c>
      <c r="C2425" t="str">
        <f>""</f>
        <v/>
      </c>
      <c r="D2425" t="str">
        <f>"9783110610314"</f>
        <v>9783110610314</v>
      </c>
      <c r="E2425" t="s">
        <v>73</v>
      </c>
      <c r="F2425" s="1">
        <v>43633</v>
      </c>
    </row>
    <row r="2426" spans="1:6" x14ac:dyDescent="0.25">
      <c r="A2426">
        <v>6637569</v>
      </c>
      <c r="B2426" t="s">
        <v>2469</v>
      </c>
      <c r="C2426" t="str">
        <f>""</f>
        <v/>
      </c>
      <c r="D2426" t="str">
        <f>"9783110619003"</f>
        <v>9783110619003</v>
      </c>
      <c r="E2426" t="s">
        <v>73</v>
      </c>
      <c r="F2426" s="1">
        <v>44116</v>
      </c>
    </row>
    <row r="2427" spans="1:6" x14ac:dyDescent="0.25">
      <c r="A2427">
        <v>6637572</v>
      </c>
      <c r="B2427" t="s">
        <v>2470</v>
      </c>
      <c r="C2427" t="str">
        <f>""</f>
        <v/>
      </c>
      <c r="D2427" t="str">
        <f>"9789048544066"</f>
        <v>9789048544066</v>
      </c>
      <c r="E2427" t="s">
        <v>59</v>
      </c>
      <c r="F2427" s="1">
        <v>43873</v>
      </c>
    </row>
    <row r="2428" spans="1:6" x14ac:dyDescent="0.25">
      <c r="A2428">
        <v>6637575</v>
      </c>
      <c r="B2428" t="s">
        <v>2471</v>
      </c>
      <c r="C2428" t="str">
        <f>""</f>
        <v/>
      </c>
      <c r="D2428" t="str">
        <f>"9789048532919"</f>
        <v>9789048532919</v>
      </c>
      <c r="E2428" t="s">
        <v>59</v>
      </c>
      <c r="F2428" s="1">
        <v>43665</v>
      </c>
    </row>
    <row r="2429" spans="1:6" x14ac:dyDescent="0.25">
      <c r="A2429">
        <v>6637576</v>
      </c>
      <c r="B2429" t="s">
        <v>2472</v>
      </c>
      <c r="C2429" t="str">
        <f>""</f>
        <v/>
      </c>
      <c r="D2429" t="str">
        <f>"9783110664720"</f>
        <v>9783110664720</v>
      </c>
      <c r="E2429" t="s">
        <v>73</v>
      </c>
      <c r="F2429" s="1">
        <v>44263</v>
      </c>
    </row>
    <row r="2430" spans="1:6" x14ac:dyDescent="0.25">
      <c r="A2430">
        <v>6637577</v>
      </c>
      <c r="B2430" t="s">
        <v>2473</v>
      </c>
      <c r="C2430" t="str">
        <f>"9783110626193"</f>
        <v>9783110626193</v>
      </c>
      <c r="D2430" t="str">
        <f>"9783110626209"</f>
        <v>9783110626209</v>
      </c>
      <c r="E2430" t="s">
        <v>73</v>
      </c>
      <c r="F2430" s="1">
        <v>43528</v>
      </c>
    </row>
    <row r="2431" spans="1:6" x14ac:dyDescent="0.25">
      <c r="A2431">
        <v>6637578</v>
      </c>
      <c r="B2431" t="s">
        <v>2474</v>
      </c>
      <c r="C2431" t="str">
        <f>""</f>
        <v/>
      </c>
      <c r="D2431" t="str">
        <f>"9783110606089"</f>
        <v>9783110606089</v>
      </c>
      <c r="E2431" t="s">
        <v>73</v>
      </c>
      <c r="F2431" s="1">
        <v>43731</v>
      </c>
    </row>
    <row r="2432" spans="1:6" x14ac:dyDescent="0.25">
      <c r="A2432">
        <v>6637579</v>
      </c>
      <c r="B2432" t="s">
        <v>2475</v>
      </c>
      <c r="C2432" t="str">
        <f>""</f>
        <v/>
      </c>
      <c r="D2432" t="str">
        <f>"9783110634327"</f>
        <v>9783110634327</v>
      </c>
      <c r="E2432" t="s">
        <v>73</v>
      </c>
      <c r="F2432" s="1">
        <v>43605</v>
      </c>
    </row>
    <row r="2433" spans="1:6" x14ac:dyDescent="0.25">
      <c r="A2433">
        <v>6637580</v>
      </c>
      <c r="B2433" t="s">
        <v>2476</v>
      </c>
      <c r="C2433" t="str">
        <f>""</f>
        <v/>
      </c>
      <c r="D2433" t="str">
        <f>"9783110688665"</f>
        <v>9783110688665</v>
      </c>
      <c r="E2433" t="s">
        <v>73</v>
      </c>
      <c r="F2433" s="1">
        <v>43990</v>
      </c>
    </row>
    <row r="2434" spans="1:6" x14ac:dyDescent="0.25">
      <c r="A2434">
        <v>6637581</v>
      </c>
      <c r="B2434" t="s">
        <v>2477</v>
      </c>
      <c r="C2434" t="str">
        <f>"9783110619010"</f>
        <v>9783110619010</v>
      </c>
      <c r="D2434" t="str">
        <f>"9783110619034"</f>
        <v>9783110619034</v>
      </c>
      <c r="E2434" t="s">
        <v>73</v>
      </c>
      <c r="F2434" s="1">
        <v>43696</v>
      </c>
    </row>
    <row r="2435" spans="1:6" x14ac:dyDescent="0.25">
      <c r="A2435">
        <v>6637585</v>
      </c>
      <c r="B2435" t="s">
        <v>2478</v>
      </c>
      <c r="C2435" t="str">
        <f>""</f>
        <v/>
      </c>
      <c r="D2435" t="str">
        <f>"9783110616743"</f>
        <v>9783110616743</v>
      </c>
      <c r="E2435" t="s">
        <v>73</v>
      </c>
      <c r="F2435" s="1">
        <v>44081</v>
      </c>
    </row>
    <row r="2436" spans="1:6" x14ac:dyDescent="0.25">
      <c r="A2436">
        <v>6637586</v>
      </c>
      <c r="B2436" t="s">
        <v>2479</v>
      </c>
      <c r="C2436" t="str">
        <f>""</f>
        <v/>
      </c>
      <c r="D2436" t="str">
        <f>"9783110675382"</f>
        <v>9783110675382</v>
      </c>
      <c r="E2436" t="s">
        <v>73</v>
      </c>
      <c r="F2436" s="1">
        <v>43990</v>
      </c>
    </row>
    <row r="2437" spans="1:6" x14ac:dyDescent="0.25">
      <c r="A2437">
        <v>6637588</v>
      </c>
      <c r="B2437" t="s">
        <v>2480</v>
      </c>
      <c r="C2437" t="str">
        <f>""</f>
        <v/>
      </c>
      <c r="D2437" t="str">
        <f>"9783110645446"</f>
        <v>9783110645446</v>
      </c>
      <c r="E2437" t="s">
        <v>73</v>
      </c>
      <c r="F2437" s="1">
        <v>43759</v>
      </c>
    </row>
    <row r="2438" spans="1:6" x14ac:dyDescent="0.25">
      <c r="A2438">
        <v>6637589</v>
      </c>
      <c r="B2438" t="s">
        <v>2481</v>
      </c>
      <c r="C2438" t="str">
        <f>"9783110615678"</f>
        <v>9783110615678</v>
      </c>
      <c r="D2438" t="str">
        <f>"9783110615692"</f>
        <v>9783110615692</v>
      </c>
      <c r="E2438" t="s">
        <v>73</v>
      </c>
      <c r="F2438" s="1">
        <v>43542</v>
      </c>
    </row>
    <row r="2439" spans="1:6" x14ac:dyDescent="0.25">
      <c r="A2439">
        <v>6637590</v>
      </c>
      <c r="B2439" t="s">
        <v>2482</v>
      </c>
      <c r="C2439" t="str">
        <f>""</f>
        <v/>
      </c>
      <c r="D2439" t="str">
        <f>"9783035619171"</f>
        <v>9783035619171</v>
      </c>
      <c r="E2439" t="s">
        <v>73</v>
      </c>
      <c r="F2439" s="1">
        <v>43731</v>
      </c>
    </row>
    <row r="2440" spans="1:6" x14ac:dyDescent="0.25">
      <c r="A2440">
        <v>6637592</v>
      </c>
      <c r="B2440" t="s">
        <v>2483</v>
      </c>
      <c r="C2440" t="str">
        <f>""</f>
        <v/>
      </c>
      <c r="D2440" t="str">
        <f>"9783110623833"</f>
        <v>9783110623833</v>
      </c>
      <c r="E2440" t="s">
        <v>73</v>
      </c>
      <c r="F2440" s="1">
        <v>43801</v>
      </c>
    </row>
    <row r="2441" spans="1:6" x14ac:dyDescent="0.25">
      <c r="A2441">
        <v>6637594</v>
      </c>
      <c r="B2441" t="s">
        <v>2484</v>
      </c>
      <c r="C2441" t="str">
        <f>"9783110586763"</f>
        <v>9783110586763</v>
      </c>
      <c r="D2441" t="str">
        <f>"9783110586770"</f>
        <v>9783110586770</v>
      </c>
      <c r="E2441" t="s">
        <v>73</v>
      </c>
      <c r="F2441" s="1">
        <v>43479</v>
      </c>
    </row>
    <row r="2442" spans="1:6" x14ac:dyDescent="0.25">
      <c r="A2442">
        <v>6637597</v>
      </c>
      <c r="B2442" t="s">
        <v>2485</v>
      </c>
      <c r="C2442" t="str">
        <f>""</f>
        <v/>
      </c>
      <c r="D2442" t="str">
        <f>"9783110625844"</f>
        <v>9783110625844</v>
      </c>
      <c r="E2442" t="s">
        <v>73</v>
      </c>
      <c r="F2442" s="1">
        <v>44158</v>
      </c>
    </row>
    <row r="2443" spans="1:6" x14ac:dyDescent="0.25">
      <c r="A2443">
        <v>6637598</v>
      </c>
      <c r="B2443" t="s">
        <v>2486</v>
      </c>
      <c r="C2443" t="str">
        <f>""</f>
        <v/>
      </c>
      <c r="D2443" t="str">
        <f>"9783110669398"</f>
        <v>9783110669398</v>
      </c>
      <c r="E2443" t="s">
        <v>73</v>
      </c>
      <c r="F2443" s="1">
        <v>44053</v>
      </c>
    </row>
    <row r="2444" spans="1:6" x14ac:dyDescent="0.25">
      <c r="A2444">
        <v>6637599</v>
      </c>
      <c r="B2444" t="s">
        <v>2487</v>
      </c>
      <c r="C2444" t="str">
        <f>""</f>
        <v/>
      </c>
      <c r="D2444" t="str">
        <f>"9783110677065"</f>
        <v>9783110677065</v>
      </c>
      <c r="E2444" t="s">
        <v>73</v>
      </c>
      <c r="F2444" s="1">
        <v>43956</v>
      </c>
    </row>
    <row r="2445" spans="1:6" x14ac:dyDescent="0.25">
      <c r="A2445">
        <v>6637601</v>
      </c>
      <c r="B2445" t="s">
        <v>2488</v>
      </c>
      <c r="C2445" t="str">
        <f>""</f>
        <v/>
      </c>
      <c r="D2445" t="str">
        <f>"9783110607772"</f>
        <v>9783110607772</v>
      </c>
      <c r="E2445" t="s">
        <v>73</v>
      </c>
      <c r="F2445" s="1">
        <v>43787</v>
      </c>
    </row>
    <row r="2446" spans="1:6" x14ac:dyDescent="0.25">
      <c r="A2446">
        <v>6637603</v>
      </c>
      <c r="B2446" t="s">
        <v>2489</v>
      </c>
      <c r="C2446" t="str">
        <f>""</f>
        <v/>
      </c>
      <c r="D2446" t="str">
        <f>"9783110642513"</f>
        <v>9783110642513</v>
      </c>
      <c r="E2446" t="s">
        <v>73</v>
      </c>
      <c r="F2446" s="1">
        <v>43731</v>
      </c>
    </row>
    <row r="2447" spans="1:6" x14ac:dyDescent="0.25">
      <c r="A2447">
        <v>6637604</v>
      </c>
      <c r="B2447" t="s">
        <v>2490</v>
      </c>
      <c r="C2447" t="str">
        <f>""</f>
        <v/>
      </c>
      <c r="D2447" t="str">
        <f>"9783110635942"</f>
        <v>9783110635942</v>
      </c>
      <c r="E2447" t="s">
        <v>73</v>
      </c>
      <c r="F2447" s="1">
        <v>43746</v>
      </c>
    </row>
    <row r="2448" spans="1:6" x14ac:dyDescent="0.25">
      <c r="A2448">
        <v>6637607</v>
      </c>
      <c r="B2448" t="s">
        <v>2491</v>
      </c>
      <c r="C2448" t="str">
        <f>""</f>
        <v/>
      </c>
      <c r="D2448" t="str">
        <f>"9783110639445"</f>
        <v>9783110639445</v>
      </c>
      <c r="E2448" t="s">
        <v>73</v>
      </c>
      <c r="F2448" s="1">
        <v>44130</v>
      </c>
    </row>
    <row r="2449" spans="1:6" x14ac:dyDescent="0.25">
      <c r="A2449">
        <v>6637610</v>
      </c>
      <c r="B2449" t="s">
        <v>2492</v>
      </c>
      <c r="C2449" t="str">
        <f>""</f>
        <v/>
      </c>
      <c r="D2449" t="str">
        <f>"9783110690668"</f>
        <v>9783110690668</v>
      </c>
      <c r="E2449" t="s">
        <v>73</v>
      </c>
      <c r="F2449" s="1">
        <v>44067</v>
      </c>
    </row>
    <row r="2450" spans="1:6" x14ac:dyDescent="0.25">
      <c r="A2450">
        <v>6637611</v>
      </c>
      <c r="B2450" t="s">
        <v>2493</v>
      </c>
      <c r="C2450" t="str">
        <f>""</f>
        <v/>
      </c>
      <c r="D2450" t="str">
        <f>"9783839445303"</f>
        <v>9783839445303</v>
      </c>
      <c r="E2450" t="s">
        <v>2494</v>
      </c>
      <c r="F2450" s="1">
        <v>43774</v>
      </c>
    </row>
    <row r="2451" spans="1:6" x14ac:dyDescent="0.25">
      <c r="A2451">
        <v>6637617</v>
      </c>
      <c r="B2451" t="s">
        <v>2495</v>
      </c>
      <c r="C2451" t="str">
        <f>""</f>
        <v/>
      </c>
      <c r="D2451" t="str">
        <f>"9783035620252"</f>
        <v>9783035620252</v>
      </c>
      <c r="E2451" t="s">
        <v>73</v>
      </c>
      <c r="F2451" s="1">
        <v>43817</v>
      </c>
    </row>
    <row r="2452" spans="1:6" x14ac:dyDescent="0.25">
      <c r="A2452">
        <v>6637618</v>
      </c>
      <c r="B2452" t="s">
        <v>2496</v>
      </c>
      <c r="C2452" t="str">
        <f>""</f>
        <v/>
      </c>
      <c r="D2452" t="str">
        <f>"9783110659658"</f>
        <v>9783110659658</v>
      </c>
      <c r="E2452" t="s">
        <v>73</v>
      </c>
      <c r="F2452" s="1">
        <v>44004</v>
      </c>
    </row>
    <row r="2453" spans="1:6" x14ac:dyDescent="0.25">
      <c r="A2453">
        <v>6637621</v>
      </c>
      <c r="B2453" t="s">
        <v>2497</v>
      </c>
      <c r="C2453" t="str">
        <f>""</f>
        <v/>
      </c>
      <c r="D2453" t="str">
        <f>"9783110642384"</f>
        <v>9783110642384</v>
      </c>
      <c r="E2453" t="s">
        <v>73</v>
      </c>
      <c r="F2453" s="1">
        <v>44172</v>
      </c>
    </row>
    <row r="2454" spans="1:6" x14ac:dyDescent="0.25">
      <c r="A2454">
        <v>6637624</v>
      </c>
      <c r="B2454" t="s">
        <v>2498</v>
      </c>
      <c r="C2454" t="str">
        <f>""</f>
        <v/>
      </c>
      <c r="D2454" t="str">
        <f>"9783110641226"</f>
        <v>9783110641226</v>
      </c>
      <c r="E2454" t="s">
        <v>73</v>
      </c>
      <c r="F2454" s="1">
        <v>43815</v>
      </c>
    </row>
    <row r="2455" spans="1:6" x14ac:dyDescent="0.25">
      <c r="A2455">
        <v>6637625</v>
      </c>
      <c r="B2455" t="s">
        <v>2499</v>
      </c>
      <c r="C2455" t="str">
        <f>"9783110620306"</f>
        <v>9783110620306</v>
      </c>
      <c r="D2455" t="str">
        <f>"9783110621365"</f>
        <v>9783110621365</v>
      </c>
      <c r="E2455" t="s">
        <v>73</v>
      </c>
      <c r="F2455" s="1">
        <v>43654</v>
      </c>
    </row>
    <row r="2456" spans="1:6" x14ac:dyDescent="0.25">
      <c r="A2456">
        <v>6637628</v>
      </c>
      <c r="B2456" t="s">
        <v>2500</v>
      </c>
      <c r="C2456" t="str">
        <f>""</f>
        <v/>
      </c>
      <c r="D2456" t="str">
        <f>"9783110669800"</f>
        <v>9783110669800</v>
      </c>
      <c r="E2456" t="s">
        <v>73</v>
      </c>
      <c r="F2456" s="1">
        <v>43885</v>
      </c>
    </row>
    <row r="2457" spans="1:6" x14ac:dyDescent="0.25">
      <c r="A2457">
        <v>6637630</v>
      </c>
      <c r="B2457" t="s">
        <v>2501</v>
      </c>
      <c r="C2457" t="str">
        <f>""</f>
        <v/>
      </c>
      <c r="D2457" t="str">
        <f>"9789048550234"</f>
        <v>9789048550234</v>
      </c>
      <c r="E2457" t="s">
        <v>59</v>
      </c>
      <c r="F2457" s="1">
        <v>43797</v>
      </c>
    </row>
    <row r="2458" spans="1:6" x14ac:dyDescent="0.25">
      <c r="A2458">
        <v>6637631</v>
      </c>
      <c r="B2458" t="s">
        <v>2502</v>
      </c>
      <c r="C2458" t="str">
        <f>""</f>
        <v/>
      </c>
      <c r="D2458" t="str">
        <f>"9789048535538"</f>
        <v>9789048535538</v>
      </c>
      <c r="E2458" t="s">
        <v>59</v>
      </c>
      <c r="F2458" s="1">
        <v>43742</v>
      </c>
    </row>
    <row r="2459" spans="1:6" x14ac:dyDescent="0.25">
      <c r="A2459">
        <v>6637635</v>
      </c>
      <c r="B2459" t="s">
        <v>2503</v>
      </c>
      <c r="C2459" t="str">
        <f>""</f>
        <v/>
      </c>
      <c r="D2459" t="str">
        <f>"9783110691504"</f>
        <v>9783110691504</v>
      </c>
      <c r="E2459" t="s">
        <v>73</v>
      </c>
      <c r="F2459" s="1">
        <v>44158</v>
      </c>
    </row>
    <row r="2460" spans="1:6" x14ac:dyDescent="0.25">
      <c r="A2460">
        <v>6637636</v>
      </c>
      <c r="B2460" t="s">
        <v>2504</v>
      </c>
      <c r="C2460" t="str">
        <f>""</f>
        <v/>
      </c>
      <c r="D2460" t="str">
        <f>"9783110685008"</f>
        <v>9783110685008</v>
      </c>
      <c r="E2460" t="s">
        <v>73</v>
      </c>
      <c r="F2460" s="1">
        <v>44004</v>
      </c>
    </row>
    <row r="2461" spans="1:6" x14ac:dyDescent="0.25">
      <c r="A2461">
        <v>6637638</v>
      </c>
      <c r="B2461" t="s">
        <v>2505</v>
      </c>
      <c r="C2461" t="str">
        <f>""</f>
        <v/>
      </c>
      <c r="D2461" t="str">
        <f>"9783110641134"</f>
        <v>9783110641134</v>
      </c>
      <c r="E2461" t="s">
        <v>73</v>
      </c>
      <c r="F2461" s="1">
        <v>43759</v>
      </c>
    </row>
    <row r="2462" spans="1:6" x14ac:dyDescent="0.25">
      <c r="A2462">
        <v>6637639</v>
      </c>
      <c r="B2462" t="s">
        <v>2506</v>
      </c>
      <c r="C2462" t="str">
        <f>""</f>
        <v/>
      </c>
      <c r="D2462" t="str">
        <f>"9783110691375"</f>
        <v>9783110691375</v>
      </c>
      <c r="E2462" t="s">
        <v>73</v>
      </c>
      <c r="F2462" s="1">
        <v>44004</v>
      </c>
    </row>
    <row r="2463" spans="1:6" x14ac:dyDescent="0.25">
      <c r="A2463">
        <v>6637641</v>
      </c>
      <c r="B2463" t="s">
        <v>2507</v>
      </c>
      <c r="C2463" t="str">
        <f>"9783110602951"</f>
        <v>9783110602951</v>
      </c>
      <c r="D2463" t="str">
        <f>"9783110605679"</f>
        <v>9783110605679</v>
      </c>
      <c r="E2463" t="s">
        <v>73</v>
      </c>
      <c r="F2463" s="1">
        <v>43746</v>
      </c>
    </row>
    <row r="2464" spans="1:6" x14ac:dyDescent="0.25">
      <c r="A2464">
        <v>6637646</v>
      </c>
      <c r="B2464" t="s">
        <v>2508</v>
      </c>
      <c r="C2464" t="str">
        <f>""</f>
        <v/>
      </c>
      <c r="D2464" t="str">
        <f>"9783110639438"</f>
        <v>9783110639438</v>
      </c>
      <c r="E2464" t="s">
        <v>73</v>
      </c>
      <c r="F2464" s="1">
        <v>44305</v>
      </c>
    </row>
    <row r="2465" spans="1:6" x14ac:dyDescent="0.25">
      <c r="A2465">
        <v>6637647</v>
      </c>
      <c r="B2465" t="s">
        <v>2509</v>
      </c>
      <c r="C2465" t="str">
        <f>""</f>
        <v/>
      </c>
      <c r="D2465" t="str">
        <f>"9783110661583"</f>
        <v>9783110661583</v>
      </c>
      <c r="E2465" t="s">
        <v>73</v>
      </c>
      <c r="F2465" s="1">
        <v>43710</v>
      </c>
    </row>
    <row r="2466" spans="1:6" x14ac:dyDescent="0.25">
      <c r="A2466">
        <v>6637648</v>
      </c>
      <c r="B2466" t="s">
        <v>2510</v>
      </c>
      <c r="C2466" t="str">
        <f>""</f>
        <v/>
      </c>
      <c r="D2466" t="str">
        <f>"9789048536757"</f>
        <v>9789048536757</v>
      </c>
      <c r="E2466" t="s">
        <v>59</v>
      </c>
      <c r="F2466" s="1">
        <v>43661</v>
      </c>
    </row>
    <row r="2467" spans="1:6" x14ac:dyDescent="0.25">
      <c r="A2467">
        <v>6637652</v>
      </c>
      <c r="B2467" t="s">
        <v>2511</v>
      </c>
      <c r="C2467" t="str">
        <f>""</f>
        <v/>
      </c>
      <c r="D2467" t="str">
        <f>"9783110637502"</f>
        <v>9783110637502</v>
      </c>
      <c r="E2467" t="s">
        <v>73</v>
      </c>
      <c r="F2467" s="1">
        <v>44144</v>
      </c>
    </row>
    <row r="2468" spans="1:6" x14ac:dyDescent="0.25">
      <c r="A2468">
        <v>6637653</v>
      </c>
      <c r="B2468" t="s">
        <v>2512</v>
      </c>
      <c r="C2468" t="str">
        <f>""</f>
        <v/>
      </c>
      <c r="D2468" t="str">
        <f>"9783110630206"</f>
        <v>9783110630206</v>
      </c>
      <c r="E2468" t="s">
        <v>73</v>
      </c>
      <c r="F2468" s="1">
        <v>43731</v>
      </c>
    </row>
    <row r="2469" spans="1:6" x14ac:dyDescent="0.25">
      <c r="A2469">
        <v>6637654</v>
      </c>
      <c r="B2469" t="s">
        <v>2513</v>
      </c>
      <c r="C2469" t="str">
        <f>""</f>
        <v/>
      </c>
      <c r="D2469" t="str">
        <f>"9789048542086"</f>
        <v>9789048542086</v>
      </c>
      <c r="E2469" t="s">
        <v>59</v>
      </c>
      <c r="F2469" s="1">
        <v>43739</v>
      </c>
    </row>
    <row r="2470" spans="1:6" x14ac:dyDescent="0.25">
      <c r="A2470">
        <v>6637655</v>
      </c>
      <c r="B2470" t="s">
        <v>2514</v>
      </c>
      <c r="C2470" t="str">
        <f>""</f>
        <v/>
      </c>
      <c r="D2470" t="str">
        <f>"9783110696493"</f>
        <v>9783110696493</v>
      </c>
      <c r="E2470" t="s">
        <v>73</v>
      </c>
      <c r="F2470" s="1">
        <v>44004</v>
      </c>
    </row>
    <row r="2471" spans="1:6" x14ac:dyDescent="0.25">
      <c r="A2471">
        <v>6637656</v>
      </c>
      <c r="B2471" t="s">
        <v>2515</v>
      </c>
      <c r="C2471" t="str">
        <f>""</f>
        <v/>
      </c>
      <c r="D2471" t="str">
        <f>"9783110670691"</f>
        <v>9783110670691</v>
      </c>
      <c r="E2471" t="s">
        <v>73</v>
      </c>
      <c r="F2471" s="1">
        <v>44053</v>
      </c>
    </row>
    <row r="2472" spans="1:6" x14ac:dyDescent="0.25">
      <c r="A2472">
        <v>6637661</v>
      </c>
      <c r="B2472" t="s">
        <v>2516</v>
      </c>
      <c r="C2472" t="str">
        <f>""</f>
        <v/>
      </c>
      <c r="D2472" t="str">
        <f>"9783110640069"</f>
        <v>9783110640069</v>
      </c>
      <c r="E2472" t="s">
        <v>73</v>
      </c>
      <c r="F2472" s="1">
        <v>44181</v>
      </c>
    </row>
    <row r="2473" spans="1:6" x14ac:dyDescent="0.25">
      <c r="A2473">
        <v>6637667</v>
      </c>
      <c r="B2473" t="s">
        <v>2517</v>
      </c>
      <c r="C2473" t="str">
        <f>""</f>
        <v/>
      </c>
      <c r="D2473" t="str">
        <f>"9783110499001"</f>
        <v>9783110499001</v>
      </c>
      <c r="E2473" t="s">
        <v>73</v>
      </c>
      <c r="F2473" s="1">
        <v>44172</v>
      </c>
    </row>
    <row r="2474" spans="1:6" x14ac:dyDescent="0.25">
      <c r="A2474">
        <v>6637670</v>
      </c>
      <c r="B2474" t="s">
        <v>2518</v>
      </c>
      <c r="C2474" t="str">
        <f>""</f>
        <v/>
      </c>
      <c r="D2474" t="str">
        <f>"9783110604856"</f>
        <v>9783110604856</v>
      </c>
      <c r="E2474" t="s">
        <v>73</v>
      </c>
      <c r="F2474" s="1">
        <v>43668</v>
      </c>
    </row>
    <row r="2475" spans="1:6" x14ac:dyDescent="0.25">
      <c r="A2475">
        <v>6637675</v>
      </c>
      <c r="B2475" t="s">
        <v>2519</v>
      </c>
      <c r="C2475" t="str">
        <f>""</f>
        <v/>
      </c>
      <c r="D2475" t="str">
        <f>"9783110666816"</f>
        <v>9783110666816</v>
      </c>
      <c r="E2475" t="s">
        <v>73</v>
      </c>
      <c r="F2475" s="1">
        <v>44018</v>
      </c>
    </row>
    <row r="2476" spans="1:6" x14ac:dyDescent="0.25">
      <c r="A2476">
        <v>6637676</v>
      </c>
      <c r="B2476" t="s">
        <v>2520</v>
      </c>
      <c r="C2476" t="str">
        <f>""</f>
        <v/>
      </c>
      <c r="D2476" t="str">
        <f>"9783110685022"</f>
        <v>9783110685022</v>
      </c>
      <c r="E2476" t="s">
        <v>73</v>
      </c>
      <c r="F2476" s="1">
        <v>43956</v>
      </c>
    </row>
    <row r="2477" spans="1:6" x14ac:dyDescent="0.25">
      <c r="A2477">
        <v>6637677</v>
      </c>
      <c r="B2477" t="s">
        <v>2521</v>
      </c>
      <c r="C2477" t="str">
        <f>""</f>
        <v/>
      </c>
      <c r="D2477" t="str">
        <f>"9789048542871"</f>
        <v>9789048542871</v>
      </c>
      <c r="E2477" t="s">
        <v>59</v>
      </c>
      <c r="F2477" s="1">
        <v>43574</v>
      </c>
    </row>
    <row r="2478" spans="1:6" x14ac:dyDescent="0.25">
      <c r="A2478">
        <v>6637678</v>
      </c>
      <c r="B2478" t="s">
        <v>2522</v>
      </c>
      <c r="C2478" t="str">
        <f>""</f>
        <v/>
      </c>
      <c r="D2478" t="str">
        <f>"9783110674668"</f>
        <v>9783110674668</v>
      </c>
      <c r="E2478" t="s">
        <v>73</v>
      </c>
      <c r="F2478" s="1">
        <v>43815</v>
      </c>
    </row>
    <row r="2479" spans="1:6" x14ac:dyDescent="0.25">
      <c r="A2479">
        <v>6637679</v>
      </c>
      <c r="B2479" t="s">
        <v>2523</v>
      </c>
      <c r="C2479" t="str">
        <f>""</f>
        <v/>
      </c>
      <c r="D2479" t="str">
        <f>"9789048537419"</f>
        <v>9789048537419</v>
      </c>
      <c r="E2479" t="s">
        <v>59</v>
      </c>
      <c r="F2479" s="1">
        <v>43993</v>
      </c>
    </row>
    <row r="2480" spans="1:6" x14ac:dyDescent="0.25">
      <c r="A2480">
        <v>6637682</v>
      </c>
      <c r="B2480" t="s">
        <v>2524</v>
      </c>
      <c r="C2480" t="str">
        <f>""</f>
        <v/>
      </c>
      <c r="D2480" t="str">
        <f>"9783110607833"</f>
        <v>9783110607833</v>
      </c>
      <c r="E2480" t="s">
        <v>73</v>
      </c>
      <c r="F2480" s="1">
        <v>44095</v>
      </c>
    </row>
    <row r="2481" spans="1:6" x14ac:dyDescent="0.25">
      <c r="A2481">
        <v>6637685</v>
      </c>
      <c r="B2481" t="s">
        <v>2525</v>
      </c>
      <c r="C2481" t="str">
        <f>""</f>
        <v/>
      </c>
      <c r="D2481" t="str">
        <f>"9783110697841"</f>
        <v>9783110697841</v>
      </c>
      <c r="E2481" t="s">
        <v>73</v>
      </c>
      <c r="F2481" s="1">
        <v>44181</v>
      </c>
    </row>
    <row r="2482" spans="1:6" x14ac:dyDescent="0.25">
      <c r="A2482">
        <v>6637687</v>
      </c>
      <c r="B2482" t="s">
        <v>2526</v>
      </c>
      <c r="C2482" t="str">
        <f>""</f>
        <v/>
      </c>
      <c r="D2482" t="str">
        <f>"9783110632446"</f>
        <v>9783110632446</v>
      </c>
      <c r="E2482" t="s">
        <v>73</v>
      </c>
      <c r="F2482" s="1">
        <v>43479</v>
      </c>
    </row>
    <row r="2483" spans="1:6" x14ac:dyDescent="0.25">
      <c r="A2483">
        <v>6637694</v>
      </c>
      <c r="B2483" t="s">
        <v>2527</v>
      </c>
      <c r="C2483" t="str">
        <f>"9783110487336"</f>
        <v>9783110487336</v>
      </c>
      <c r="D2483" t="str">
        <f>"9783110527988"</f>
        <v>9783110527988</v>
      </c>
      <c r="E2483" t="s">
        <v>53</v>
      </c>
      <c r="F2483" s="1">
        <v>43654</v>
      </c>
    </row>
    <row r="2484" spans="1:6" x14ac:dyDescent="0.25">
      <c r="A2484">
        <v>6637695</v>
      </c>
      <c r="B2484" t="s">
        <v>2528</v>
      </c>
      <c r="C2484" t="str">
        <f>""</f>
        <v/>
      </c>
      <c r="D2484" t="str">
        <f>"9783110639476"</f>
        <v>9783110639476</v>
      </c>
      <c r="E2484" t="s">
        <v>73</v>
      </c>
      <c r="F2484" s="1">
        <v>44326</v>
      </c>
    </row>
    <row r="2485" spans="1:6" x14ac:dyDescent="0.25">
      <c r="A2485">
        <v>6637696</v>
      </c>
      <c r="B2485" t="s">
        <v>2529</v>
      </c>
      <c r="C2485" t="str">
        <f>""</f>
        <v/>
      </c>
      <c r="D2485" t="str">
        <f>"9783110607741"</f>
        <v>9783110607741</v>
      </c>
      <c r="E2485" t="s">
        <v>73</v>
      </c>
      <c r="F2485" s="1">
        <v>43801</v>
      </c>
    </row>
    <row r="2486" spans="1:6" x14ac:dyDescent="0.25">
      <c r="A2486">
        <v>6637697</v>
      </c>
      <c r="B2486" t="s">
        <v>2530</v>
      </c>
      <c r="C2486" t="str">
        <f>""</f>
        <v/>
      </c>
      <c r="D2486" t="str">
        <f>"9783110682427"</f>
        <v>9783110682427</v>
      </c>
      <c r="E2486" t="s">
        <v>73</v>
      </c>
      <c r="F2486" s="1">
        <v>44158</v>
      </c>
    </row>
    <row r="2487" spans="1:6" x14ac:dyDescent="0.25">
      <c r="A2487">
        <v>6637699</v>
      </c>
      <c r="B2487" t="s">
        <v>2531</v>
      </c>
      <c r="C2487" t="str">
        <f>"9783110613223"</f>
        <v>9783110613223</v>
      </c>
      <c r="D2487" t="str">
        <f>"9783110614619"</f>
        <v>9783110614619</v>
      </c>
      <c r="E2487" t="s">
        <v>73</v>
      </c>
      <c r="F2487" s="1">
        <v>43850</v>
      </c>
    </row>
    <row r="2488" spans="1:6" x14ac:dyDescent="0.25">
      <c r="A2488">
        <v>6637704</v>
      </c>
      <c r="B2488" t="s">
        <v>2532</v>
      </c>
      <c r="C2488" t="str">
        <f>""</f>
        <v/>
      </c>
      <c r="D2488" t="str">
        <f>"9789048542895"</f>
        <v>9789048542895</v>
      </c>
      <c r="E2488" t="s">
        <v>59</v>
      </c>
      <c r="F2488" s="1">
        <v>43475</v>
      </c>
    </row>
    <row r="2489" spans="1:6" x14ac:dyDescent="0.25">
      <c r="A2489">
        <v>6637705</v>
      </c>
      <c r="B2489" t="s">
        <v>2533</v>
      </c>
      <c r="C2489" t="str">
        <f>""</f>
        <v/>
      </c>
      <c r="D2489" t="str">
        <f>"9783110650464"</f>
        <v>9783110650464</v>
      </c>
      <c r="E2489" t="s">
        <v>73</v>
      </c>
      <c r="F2489" s="1">
        <v>43927</v>
      </c>
    </row>
    <row r="2490" spans="1:6" x14ac:dyDescent="0.25">
      <c r="A2490">
        <v>6637707</v>
      </c>
      <c r="B2490" t="s">
        <v>2407</v>
      </c>
      <c r="C2490" t="str">
        <f>"9783110614497"</f>
        <v>9783110614497</v>
      </c>
      <c r="D2490" t="str">
        <f>"9783110614589"</f>
        <v>9783110614589</v>
      </c>
      <c r="E2490" t="s">
        <v>73</v>
      </c>
      <c r="F2490" s="1">
        <v>43731</v>
      </c>
    </row>
    <row r="2491" spans="1:6" x14ac:dyDescent="0.25">
      <c r="A2491">
        <v>6637708</v>
      </c>
      <c r="B2491" t="s">
        <v>2534</v>
      </c>
      <c r="C2491" t="str">
        <f>""</f>
        <v/>
      </c>
      <c r="D2491" t="str">
        <f>"9783110659054"</f>
        <v>9783110659054</v>
      </c>
      <c r="E2491" t="s">
        <v>73</v>
      </c>
      <c r="F2491" s="1">
        <v>43682</v>
      </c>
    </row>
    <row r="2492" spans="1:6" x14ac:dyDescent="0.25">
      <c r="A2492">
        <v>6637709</v>
      </c>
      <c r="B2492" t="s">
        <v>2535</v>
      </c>
      <c r="C2492" t="str">
        <f>"9783110615913"</f>
        <v>9783110615913</v>
      </c>
      <c r="D2492" t="str">
        <f>"9783110615937"</f>
        <v>9783110615937</v>
      </c>
      <c r="E2492" t="s">
        <v>73</v>
      </c>
      <c r="F2492" s="1">
        <v>44053</v>
      </c>
    </row>
    <row r="2493" spans="1:6" x14ac:dyDescent="0.25">
      <c r="A2493">
        <v>6637710</v>
      </c>
      <c r="B2493" t="s">
        <v>2536</v>
      </c>
      <c r="C2493" t="str">
        <f>""</f>
        <v/>
      </c>
      <c r="D2493" t="str">
        <f>"9783110650723"</f>
        <v>9783110650723</v>
      </c>
      <c r="E2493" t="s">
        <v>73</v>
      </c>
      <c r="F2493" s="1">
        <v>43774</v>
      </c>
    </row>
    <row r="2494" spans="1:6" x14ac:dyDescent="0.25">
      <c r="A2494">
        <v>6637711</v>
      </c>
      <c r="B2494" t="s">
        <v>2537</v>
      </c>
      <c r="C2494" t="str">
        <f>""</f>
        <v/>
      </c>
      <c r="D2494" t="str">
        <f>"9783110642636"</f>
        <v>9783110642636</v>
      </c>
      <c r="E2494" t="s">
        <v>73</v>
      </c>
      <c r="F2494" s="1">
        <v>43528</v>
      </c>
    </row>
    <row r="2495" spans="1:6" x14ac:dyDescent="0.25">
      <c r="A2495">
        <v>6637712</v>
      </c>
      <c r="B2495" t="s">
        <v>2538</v>
      </c>
      <c r="C2495" t="str">
        <f>""</f>
        <v/>
      </c>
      <c r="D2495" t="str">
        <f>"9783110662979"</f>
        <v>9783110662979</v>
      </c>
      <c r="E2495" t="s">
        <v>73</v>
      </c>
      <c r="F2495" s="1">
        <v>43591</v>
      </c>
    </row>
    <row r="2496" spans="1:6" x14ac:dyDescent="0.25">
      <c r="A2496">
        <v>6637716</v>
      </c>
      <c r="B2496" t="s">
        <v>2539</v>
      </c>
      <c r="C2496" t="str">
        <f>""</f>
        <v/>
      </c>
      <c r="D2496" t="str">
        <f>"9783110664744"</f>
        <v>9783110664744</v>
      </c>
      <c r="E2496" t="s">
        <v>73</v>
      </c>
      <c r="F2496" s="1">
        <v>44018</v>
      </c>
    </row>
    <row r="2497" spans="1:6" x14ac:dyDescent="0.25">
      <c r="A2497">
        <v>6637723</v>
      </c>
      <c r="B2497" t="s">
        <v>2540</v>
      </c>
      <c r="C2497" t="str">
        <f>"9783110595796"</f>
        <v>9783110595796</v>
      </c>
      <c r="D2497" t="str">
        <f>"9783110595925"</f>
        <v>9783110595925</v>
      </c>
      <c r="E2497" t="s">
        <v>73</v>
      </c>
      <c r="F2497" s="1">
        <v>43759</v>
      </c>
    </row>
    <row r="2498" spans="1:6" x14ac:dyDescent="0.25">
      <c r="A2498">
        <v>6637728</v>
      </c>
      <c r="B2498" t="s">
        <v>2541</v>
      </c>
      <c r="C2498" t="str">
        <f>""</f>
        <v/>
      </c>
      <c r="D2498" t="str">
        <f>"9783110615876"</f>
        <v>9783110615876</v>
      </c>
      <c r="E2498" t="s">
        <v>73</v>
      </c>
      <c r="F2498" s="1">
        <v>43591</v>
      </c>
    </row>
    <row r="2499" spans="1:6" x14ac:dyDescent="0.25">
      <c r="A2499">
        <v>6637729</v>
      </c>
      <c r="B2499" t="s">
        <v>2542</v>
      </c>
      <c r="C2499" t="str">
        <f>""</f>
        <v/>
      </c>
      <c r="D2499" t="str">
        <f>"9783110653540"</f>
        <v>9783110653540</v>
      </c>
      <c r="E2499" t="s">
        <v>73</v>
      </c>
      <c r="F2499" s="1">
        <v>43990</v>
      </c>
    </row>
    <row r="2500" spans="1:6" x14ac:dyDescent="0.25">
      <c r="A2500">
        <v>6637732</v>
      </c>
      <c r="B2500" t="s">
        <v>2543</v>
      </c>
      <c r="C2500" t="str">
        <f>"9783110541199"</f>
        <v>9783110541199</v>
      </c>
      <c r="D2500" t="str">
        <f>"9783110541588"</f>
        <v>9783110541588</v>
      </c>
      <c r="E2500" t="s">
        <v>73</v>
      </c>
      <c r="F2500" s="1">
        <v>43605</v>
      </c>
    </row>
    <row r="2501" spans="1:6" x14ac:dyDescent="0.25">
      <c r="A2501">
        <v>6637735</v>
      </c>
      <c r="B2501" t="s">
        <v>2544</v>
      </c>
      <c r="C2501" t="str">
        <f>"9783110616330"</f>
        <v>9783110616330</v>
      </c>
      <c r="D2501" t="str">
        <f>"9783110616347"</f>
        <v>9783110616347</v>
      </c>
      <c r="E2501" t="s">
        <v>73</v>
      </c>
      <c r="F2501" s="1">
        <v>43829</v>
      </c>
    </row>
    <row r="2502" spans="1:6" x14ac:dyDescent="0.25">
      <c r="A2502">
        <v>6637736</v>
      </c>
      <c r="B2502" t="s">
        <v>2545</v>
      </c>
      <c r="C2502" t="str">
        <f>""</f>
        <v/>
      </c>
      <c r="D2502" t="str">
        <f>"9783110677058"</f>
        <v>9783110677058</v>
      </c>
      <c r="E2502" t="s">
        <v>73</v>
      </c>
      <c r="F2502" s="1">
        <v>44116</v>
      </c>
    </row>
    <row r="2503" spans="1:6" x14ac:dyDescent="0.25">
      <c r="A2503">
        <v>6637740</v>
      </c>
      <c r="B2503" t="s">
        <v>2546</v>
      </c>
      <c r="C2503" t="str">
        <f>""</f>
        <v/>
      </c>
      <c r="D2503" t="str">
        <f>"9783110677713"</f>
        <v>9783110677713</v>
      </c>
      <c r="E2503" t="s">
        <v>73</v>
      </c>
      <c r="F2503" s="1">
        <v>44095</v>
      </c>
    </row>
    <row r="2504" spans="1:6" x14ac:dyDescent="0.25">
      <c r="A2504">
        <v>6637741</v>
      </c>
      <c r="B2504" t="s">
        <v>2547</v>
      </c>
      <c r="C2504" t="str">
        <f>""</f>
        <v/>
      </c>
      <c r="D2504" t="str">
        <f>"9783110584707"</f>
        <v>9783110584707</v>
      </c>
      <c r="E2504" t="s">
        <v>73</v>
      </c>
      <c r="F2504" s="1">
        <v>43885</v>
      </c>
    </row>
    <row r="2505" spans="1:6" x14ac:dyDescent="0.25">
      <c r="A2505">
        <v>6637784</v>
      </c>
      <c r="B2505" t="s">
        <v>2548</v>
      </c>
      <c r="C2505" t="str">
        <f>"9783319928098"</f>
        <v>9783319928098</v>
      </c>
      <c r="D2505" t="str">
        <f>"9783319928104"</f>
        <v>9783319928104</v>
      </c>
      <c r="E2505" t="s">
        <v>756</v>
      </c>
      <c r="F2505" s="1">
        <v>44351</v>
      </c>
    </row>
    <row r="2506" spans="1:6" x14ac:dyDescent="0.25">
      <c r="A2506">
        <v>6637789</v>
      </c>
      <c r="B2506" t="s">
        <v>2549</v>
      </c>
      <c r="C2506" t="str">
        <f>"9789813349919"</f>
        <v>9789813349919</v>
      </c>
      <c r="D2506" t="str">
        <f>"9789813349926"</f>
        <v>9789813349926</v>
      </c>
      <c r="E2506" t="s">
        <v>1177</v>
      </c>
      <c r="F2506" s="1">
        <v>44352</v>
      </c>
    </row>
    <row r="2507" spans="1:6" x14ac:dyDescent="0.25">
      <c r="A2507">
        <v>6638232</v>
      </c>
      <c r="B2507" t="s">
        <v>2550</v>
      </c>
      <c r="C2507" t="str">
        <f>"9781800641839"</f>
        <v>9781800641839</v>
      </c>
      <c r="D2507" t="str">
        <f>"9781800641846"</f>
        <v>9781800641846</v>
      </c>
      <c r="E2507" t="s">
        <v>580</v>
      </c>
      <c r="F2507" s="1">
        <v>44347</v>
      </c>
    </row>
    <row r="2508" spans="1:6" x14ac:dyDescent="0.25">
      <c r="A2508">
        <v>6638830</v>
      </c>
      <c r="B2508" t="s">
        <v>2551</v>
      </c>
      <c r="C2508" t="str">
        <f>"9783030698812"</f>
        <v>9783030698812</v>
      </c>
      <c r="D2508" t="str">
        <f>"9783030698829"</f>
        <v>9783030698829</v>
      </c>
      <c r="E2508" t="s">
        <v>756</v>
      </c>
      <c r="F2508" s="1">
        <v>44355</v>
      </c>
    </row>
    <row r="2509" spans="1:6" x14ac:dyDescent="0.25">
      <c r="A2509">
        <v>6639200</v>
      </c>
      <c r="B2509" t="s">
        <v>2552</v>
      </c>
      <c r="C2509" t="str">
        <f>"9783658339265"</f>
        <v>9783658339265</v>
      </c>
      <c r="D2509" t="str">
        <f>"9783658339272"</f>
        <v>9783658339272</v>
      </c>
      <c r="E2509" t="s">
        <v>1391</v>
      </c>
      <c r="F2509" s="1">
        <v>44356</v>
      </c>
    </row>
    <row r="2510" spans="1:6" x14ac:dyDescent="0.25">
      <c r="A2510">
        <v>6639843</v>
      </c>
      <c r="B2510" t="s">
        <v>2553</v>
      </c>
      <c r="C2510" t="str">
        <f>"9789462984059"</f>
        <v>9789462984059</v>
      </c>
      <c r="D2510" t="str">
        <f>"9789048534586"</f>
        <v>9789048534586</v>
      </c>
      <c r="E2510" t="s">
        <v>59</v>
      </c>
      <c r="F2510" s="1">
        <v>42948</v>
      </c>
    </row>
    <row r="2511" spans="1:6" x14ac:dyDescent="0.25">
      <c r="A2511">
        <v>6640049</v>
      </c>
      <c r="B2511" t="s">
        <v>2554</v>
      </c>
      <c r="C2511" t="str">
        <f>"9783030780975"</f>
        <v>9783030780975</v>
      </c>
      <c r="D2511" t="str">
        <f>"9783030780982"</f>
        <v>9783030780982</v>
      </c>
      <c r="E2511" t="s">
        <v>756</v>
      </c>
      <c r="F2511" s="1">
        <v>44357</v>
      </c>
    </row>
    <row r="2512" spans="1:6" x14ac:dyDescent="0.25">
      <c r="A2512">
        <v>6640074</v>
      </c>
      <c r="B2512" t="s">
        <v>2555</v>
      </c>
      <c r="C2512" t="str">
        <f>"9783030717636"</f>
        <v>9783030717636</v>
      </c>
      <c r="D2512" t="str">
        <f>"9783030717643"</f>
        <v>9783030717643</v>
      </c>
      <c r="E2512" t="s">
        <v>756</v>
      </c>
      <c r="F2512" s="1">
        <v>44357</v>
      </c>
    </row>
    <row r="2513" spans="1:6" x14ac:dyDescent="0.25">
      <c r="A2513">
        <v>6640078</v>
      </c>
      <c r="B2513" t="s">
        <v>2556</v>
      </c>
      <c r="C2513" t="str">
        <f>"9783030668907"</f>
        <v>9783030668907</v>
      </c>
      <c r="D2513" t="str">
        <f>"9783030668914"</f>
        <v>9783030668914</v>
      </c>
      <c r="E2513" t="s">
        <v>756</v>
      </c>
      <c r="F2513" s="1">
        <v>44357</v>
      </c>
    </row>
    <row r="2514" spans="1:6" x14ac:dyDescent="0.25">
      <c r="A2514">
        <v>6647696</v>
      </c>
      <c r="B2514" t="s">
        <v>2557</v>
      </c>
      <c r="C2514" t="str">
        <f>"9781800641204"</f>
        <v>9781800641204</v>
      </c>
      <c r="D2514" t="str">
        <f>"9781800641211"</f>
        <v>9781800641211</v>
      </c>
      <c r="E2514" t="s">
        <v>580</v>
      </c>
      <c r="F2514" s="1">
        <v>44363</v>
      </c>
    </row>
    <row r="2515" spans="1:6" x14ac:dyDescent="0.25">
      <c r="A2515">
        <v>6647753</v>
      </c>
      <c r="B2515" t="s">
        <v>2558</v>
      </c>
      <c r="C2515" t="str">
        <f>"9783030499945"</f>
        <v>9783030499945</v>
      </c>
      <c r="D2515" t="str">
        <f>"9783030499952"</f>
        <v>9783030499952</v>
      </c>
      <c r="E2515" t="s">
        <v>756</v>
      </c>
      <c r="F2515" s="1">
        <v>44370</v>
      </c>
    </row>
    <row r="2516" spans="1:6" x14ac:dyDescent="0.25">
      <c r="A2516">
        <v>6648423</v>
      </c>
      <c r="B2516" t="s">
        <v>2559</v>
      </c>
      <c r="C2516" t="str">
        <f>"9783030701758"</f>
        <v>9783030701758</v>
      </c>
      <c r="D2516" t="str">
        <f>"9783030701765"</f>
        <v>9783030701765</v>
      </c>
      <c r="E2516" t="s">
        <v>756</v>
      </c>
      <c r="F2516" s="1">
        <v>44322</v>
      </c>
    </row>
    <row r="2517" spans="1:6" x14ac:dyDescent="0.25">
      <c r="A2517">
        <v>6652280</v>
      </c>
      <c r="B2517" t="s">
        <v>2560</v>
      </c>
      <c r="C2517" t="str">
        <f>"9783030566920"</f>
        <v>9783030566920</v>
      </c>
      <c r="D2517" t="str">
        <f>"9783030566944"</f>
        <v>9783030566944</v>
      </c>
      <c r="E2517" t="s">
        <v>756</v>
      </c>
      <c r="F2517" s="1">
        <v>44376</v>
      </c>
    </row>
    <row r="2518" spans="1:6" x14ac:dyDescent="0.25">
      <c r="A2518">
        <v>6660156</v>
      </c>
      <c r="B2518" t="s">
        <v>2561</v>
      </c>
      <c r="C2518" t="str">
        <f>"9783030750305"</f>
        <v>9783030750305</v>
      </c>
      <c r="D2518" t="str">
        <f>"9783030750312"</f>
        <v>9783030750312</v>
      </c>
      <c r="E2518" t="s">
        <v>756</v>
      </c>
      <c r="F2518" s="1">
        <v>44377</v>
      </c>
    </row>
    <row r="2519" spans="1:6" x14ac:dyDescent="0.25">
      <c r="A2519">
        <v>6660239</v>
      </c>
      <c r="B2519" t="s">
        <v>2562</v>
      </c>
      <c r="C2519" t="str">
        <f>"9781978804555"</f>
        <v>9781978804555</v>
      </c>
      <c r="D2519" t="str">
        <f>"9781978804586"</f>
        <v>9781978804586</v>
      </c>
      <c r="E2519" t="s">
        <v>51</v>
      </c>
      <c r="F2519" s="1">
        <v>44365</v>
      </c>
    </row>
    <row r="2520" spans="1:6" x14ac:dyDescent="0.25">
      <c r="A2520">
        <v>6661645</v>
      </c>
      <c r="B2520" t="s">
        <v>2563</v>
      </c>
      <c r="C2520" t="str">
        <f>"9783658341145"</f>
        <v>9783658341145</v>
      </c>
      <c r="D2520" t="str">
        <f>"9783658341152"</f>
        <v>9783658341152</v>
      </c>
      <c r="E2520" t="s">
        <v>1391</v>
      </c>
      <c r="F2520" s="1">
        <v>44378</v>
      </c>
    </row>
    <row r="2521" spans="1:6" x14ac:dyDescent="0.25">
      <c r="A2521">
        <v>6665443</v>
      </c>
      <c r="B2521" t="s">
        <v>2564</v>
      </c>
      <c r="C2521" t="str">
        <f>"9789811604546"</f>
        <v>9789811604546</v>
      </c>
      <c r="D2521" t="str">
        <f>"9789811604553"</f>
        <v>9789811604553</v>
      </c>
      <c r="E2521" t="s">
        <v>1177</v>
      </c>
      <c r="F2521" s="1">
        <v>44370</v>
      </c>
    </row>
    <row r="2522" spans="1:6" x14ac:dyDescent="0.25">
      <c r="A2522">
        <v>6665457</v>
      </c>
      <c r="B2522" t="s">
        <v>2565</v>
      </c>
      <c r="C2522" t="str">
        <f>"9783030737696"</f>
        <v>9783030737696</v>
      </c>
      <c r="D2522" t="str">
        <f>"9783030737702"</f>
        <v>9783030737702</v>
      </c>
      <c r="E2522" t="s">
        <v>756</v>
      </c>
      <c r="F2522" s="1">
        <v>44376</v>
      </c>
    </row>
    <row r="2523" spans="1:6" x14ac:dyDescent="0.25">
      <c r="A2523">
        <v>6670331</v>
      </c>
      <c r="B2523" t="s">
        <v>2566</v>
      </c>
      <c r="C2523" t="str">
        <f>"9783662635087"</f>
        <v>9783662635087</v>
      </c>
      <c r="D2523" t="str">
        <f>"9783662635094"</f>
        <v>9783662635094</v>
      </c>
      <c r="E2523" t="s">
        <v>1416</v>
      </c>
      <c r="F2523" s="1">
        <v>44382</v>
      </c>
    </row>
    <row r="2524" spans="1:6" x14ac:dyDescent="0.25">
      <c r="A2524">
        <v>6675250</v>
      </c>
      <c r="B2524" t="s">
        <v>2567</v>
      </c>
      <c r="C2524" t="str">
        <f>""</f>
        <v/>
      </c>
      <c r="D2524" t="str">
        <f>"9789179290009"</f>
        <v>9789179290009</v>
      </c>
      <c r="E2524" t="s">
        <v>1268</v>
      </c>
      <c r="F2524" s="1">
        <v>44382</v>
      </c>
    </row>
    <row r="2525" spans="1:6" x14ac:dyDescent="0.25">
      <c r="A2525">
        <v>6676589</v>
      </c>
      <c r="B2525" t="s">
        <v>2568</v>
      </c>
      <c r="C2525" t="str">
        <f>"9783030684785"</f>
        <v>9783030684785</v>
      </c>
      <c r="D2525" t="str">
        <f>"9783030684792"</f>
        <v>9783030684792</v>
      </c>
      <c r="E2525" t="s">
        <v>756</v>
      </c>
      <c r="F2525" s="1">
        <v>44385</v>
      </c>
    </row>
    <row r="2526" spans="1:6" x14ac:dyDescent="0.25">
      <c r="A2526">
        <v>6676590</v>
      </c>
      <c r="B2526" t="s">
        <v>2569</v>
      </c>
      <c r="C2526" t="str">
        <f>"9783030639587"</f>
        <v>9783030639587</v>
      </c>
      <c r="D2526" t="str">
        <f>"9783030639600"</f>
        <v>9783030639600</v>
      </c>
      <c r="E2526" t="s">
        <v>756</v>
      </c>
      <c r="F2526" s="1">
        <v>44378</v>
      </c>
    </row>
    <row r="2527" spans="1:6" x14ac:dyDescent="0.25">
      <c r="A2527">
        <v>6676591</v>
      </c>
      <c r="B2527" t="s">
        <v>2570</v>
      </c>
      <c r="C2527" t="str">
        <f>"9783030718183"</f>
        <v>9783030718183</v>
      </c>
      <c r="D2527" t="str">
        <f>"9783030718190"</f>
        <v>9783030718190</v>
      </c>
      <c r="E2527" t="s">
        <v>756</v>
      </c>
      <c r="F2527" s="1">
        <v>44372</v>
      </c>
    </row>
    <row r="2528" spans="1:6" x14ac:dyDescent="0.25">
      <c r="A2528">
        <v>6676592</v>
      </c>
      <c r="B2528" t="s">
        <v>2571</v>
      </c>
      <c r="C2528" t="str">
        <f>"9783030745851"</f>
        <v>9783030745851</v>
      </c>
      <c r="D2528" t="str">
        <f>"9783030745868"</f>
        <v>9783030745868</v>
      </c>
      <c r="E2528" t="s">
        <v>756</v>
      </c>
      <c r="F2528" s="1">
        <v>44372</v>
      </c>
    </row>
    <row r="2529" spans="1:6" x14ac:dyDescent="0.25">
      <c r="A2529">
        <v>6676594</v>
      </c>
      <c r="B2529" t="s">
        <v>2572</v>
      </c>
      <c r="C2529" t="str">
        <f>"9783030681753"</f>
        <v>9783030681753</v>
      </c>
      <c r="D2529" t="str">
        <f>"9783030681760"</f>
        <v>9783030681760</v>
      </c>
      <c r="E2529" t="s">
        <v>756</v>
      </c>
      <c r="F2529" s="1">
        <v>44378</v>
      </c>
    </row>
    <row r="2530" spans="1:6" x14ac:dyDescent="0.25">
      <c r="A2530">
        <v>6676595</v>
      </c>
      <c r="B2530" t="s">
        <v>2573</v>
      </c>
      <c r="C2530" t="str">
        <f>"9783030645366"</f>
        <v>9783030645366</v>
      </c>
      <c r="D2530" t="str">
        <f>"9783030645373"</f>
        <v>9783030645373</v>
      </c>
      <c r="E2530" t="s">
        <v>756</v>
      </c>
      <c r="F2530" s="1">
        <v>44372</v>
      </c>
    </row>
    <row r="2531" spans="1:6" x14ac:dyDescent="0.25">
      <c r="A2531">
        <v>6676596</v>
      </c>
      <c r="B2531" t="s">
        <v>2574</v>
      </c>
      <c r="C2531" t="str">
        <f>"9783030738341"</f>
        <v>9783030738341</v>
      </c>
      <c r="D2531" t="str">
        <f>"9783030738358"</f>
        <v>9783030738358</v>
      </c>
      <c r="E2531" t="s">
        <v>756</v>
      </c>
      <c r="F2531" s="1">
        <v>44378</v>
      </c>
    </row>
    <row r="2532" spans="1:6" x14ac:dyDescent="0.25">
      <c r="A2532">
        <v>6676597</v>
      </c>
      <c r="B2532" t="s">
        <v>2575</v>
      </c>
      <c r="C2532" t="str">
        <f>"9783030742171"</f>
        <v>9783030742171</v>
      </c>
      <c r="D2532" t="str">
        <f>"9783030742188"</f>
        <v>9783030742188</v>
      </c>
      <c r="E2532" t="s">
        <v>756</v>
      </c>
      <c r="F2532" s="1">
        <v>44426</v>
      </c>
    </row>
    <row r="2533" spans="1:6" x14ac:dyDescent="0.25">
      <c r="A2533">
        <v>6676598</v>
      </c>
      <c r="B2533" t="s">
        <v>2576</v>
      </c>
      <c r="C2533" t="str">
        <f>"9783030748500"</f>
        <v>9783030748500</v>
      </c>
      <c r="D2533" t="str">
        <f>"9783030748517"</f>
        <v>9783030748517</v>
      </c>
      <c r="E2533" t="s">
        <v>756</v>
      </c>
      <c r="F2533" s="1">
        <v>44378</v>
      </c>
    </row>
    <row r="2534" spans="1:6" x14ac:dyDescent="0.25">
      <c r="A2534">
        <v>6676599</v>
      </c>
      <c r="B2534" t="s">
        <v>2577</v>
      </c>
      <c r="C2534" t="str">
        <f>"9783030798758"</f>
        <v>9783030798758</v>
      </c>
      <c r="D2534" t="str">
        <f>"9783030798765"</f>
        <v>9783030798765</v>
      </c>
      <c r="E2534" t="s">
        <v>756</v>
      </c>
      <c r="F2534" s="1">
        <v>44385</v>
      </c>
    </row>
    <row r="2535" spans="1:6" x14ac:dyDescent="0.25">
      <c r="A2535">
        <v>6676600</v>
      </c>
      <c r="B2535" t="s">
        <v>2578</v>
      </c>
      <c r="C2535" t="str">
        <f>"9783030798505"</f>
        <v>9783030798505</v>
      </c>
      <c r="D2535" t="str">
        <f>"9783030798512"</f>
        <v>9783030798512</v>
      </c>
      <c r="E2535" t="s">
        <v>756</v>
      </c>
      <c r="F2535" s="1">
        <v>44380</v>
      </c>
    </row>
    <row r="2536" spans="1:6" x14ac:dyDescent="0.25">
      <c r="A2536">
        <v>6676601</v>
      </c>
      <c r="B2536" t="s">
        <v>2579</v>
      </c>
      <c r="C2536" t="str">
        <f>"9783658337544"</f>
        <v>9783658337544</v>
      </c>
      <c r="D2536" t="str">
        <f>"9783658337551"</f>
        <v>9783658337551</v>
      </c>
      <c r="E2536" t="s">
        <v>1391</v>
      </c>
      <c r="F2536" s="1">
        <v>44372</v>
      </c>
    </row>
    <row r="2537" spans="1:6" x14ac:dyDescent="0.25">
      <c r="A2537">
        <v>6676602</v>
      </c>
      <c r="B2537" t="s">
        <v>2580</v>
      </c>
      <c r="C2537" t="str">
        <f>"9783658343651"</f>
        <v>9783658343651</v>
      </c>
      <c r="D2537" t="str">
        <f>"9783658343668"</f>
        <v>9783658343668</v>
      </c>
      <c r="E2537" t="s">
        <v>1391</v>
      </c>
      <c r="F2537" s="1">
        <v>44371</v>
      </c>
    </row>
    <row r="2538" spans="1:6" x14ac:dyDescent="0.25">
      <c r="A2538">
        <v>6676603</v>
      </c>
      <c r="B2538" t="s">
        <v>2581</v>
      </c>
      <c r="C2538" t="str">
        <f>"9783662631065"</f>
        <v>9783662631065</v>
      </c>
      <c r="D2538" t="str">
        <f>"9783662631072"</f>
        <v>9783662631072</v>
      </c>
      <c r="E2538" t="s">
        <v>1416</v>
      </c>
      <c r="F2538" s="1">
        <v>44375</v>
      </c>
    </row>
    <row r="2539" spans="1:6" x14ac:dyDescent="0.25">
      <c r="A2539">
        <v>6676980</v>
      </c>
      <c r="B2539" t="s">
        <v>2582</v>
      </c>
      <c r="C2539" t="str">
        <f>"9781800642317"</f>
        <v>9781800642317</v>
      </c>
      <c r="D2539" t="str">
        <f>"9781800642324"</f>
        <v>9781800642324</v>
      </c>
      <c r="E2539" t="s">
        <v>580</v>
      </c>
      <c r="F2539" s="1">
        <v>44377</v>
      </c>
    </row>
    <row r="2540" spans="1:6" x14ac:dyDescent="0.25">
      <c r="A2540">
        <v>6676981</v>
      </c>
      <c r="B2540" t="s">
        <v>2583</v>
      </c>
      <c r="C2540" t="str">
        <f>"9781800642072"</f>
        <v>9781800642072</v>
      </c>
      <c r="D2540" t="str">
        <f>"9781800642089"</f>
        <v>9781800642089</v>
      </c>
      <c r="E2540" t="s">
        <v>580</v>
      </c>
      <c r="F2540" s="1">
        <v>44392</v>
      </c>
    </row>
    <row r="2541" spans="1:6" x14ac:dyDescent="0.25">
      <c r="A2541">
        <v>6678416</v>
      </c>
      <c r="B2541" t="s">
        <v>2584</v>
      </c>
      <c r="C2541" t="str">
        <f>"9783030780708"</f>
        <v>9783030780708</v>
      </c>
      <c r="D2541" t="str">
        <f>"9783030780715"</f>
        <v>9783030780715</v>
      </c>
      <c r="E2541" t="s">
        <v>756</v>
      </c>
      <c r="F2541" s="1">
        <v>44392</v>
      </c>
    </row>
    <row r="2542" spans="1:6" x14ac:dyDescent="0.25">
      <c r="A2542">
        <v>6679204</v>
      </c>
      <c r="B2542" t="s">
        <v>2585</v>
      </c>
      <c r="C2542" t="str">
        <f>"9783658344351"</f>
        <v>9783658344351</v>
      </c>
      <c r="D2542" t="str">
        <f>"9783658344368"</f>
        <v>9783658344368</v>
      </c>
      <c r="E2542" t="s">
        <v>1391</v>
      </c>
      <c r="F2542" s="1">
        <v>44393</v>
      </c>
    </row>
    <row r="2543" spans="1:6" x14ac:dyDescent="0.25">
      <c r="A2543">
        <v>6679205</v>
      </c>
      <c r="B2543" t="s">
        <v>2586</v>
      </c>
      <c r="C2543" t="str">
        <f>"9783030758288"</f>
        <v>9783030758288</v>
      </c>
      <c r="D2543" t="str">
        <f>"9783030758295"</f>
        <v>9783030758295</v>
      </c>
      <c r="E2543" t="s">
        <v>756</v>
      </c>
      <c r="F2543" s="1">
        <v>44393</v>
      </c>
    </row>
    <row r="2544" spans="1:6" x14ac:dyDescent="0.25">
      <c r="A2544">
        <v>6679367</v>
      </c>
      <c r="B2544" t="s">
        <v>2587</v>
      </c>
      <c r="C2544" t="str">
        <f>"9783030816841"</f>
        <v>9783030816841</v>
      </c>
      <c r="D2544" t="str">
        <f>"9783030816858"</f>
        <v>9783030816858</v>
      </c>
      <c r="E2544" t="s">
        <v>756</v>
      </c>
      <c r="F2544" s="1">
        <v>44395</v>
      </c>
    </row>
    <row r="2545" spans="1:6" x14ac:dyDescent="0.25">
      <c r="A2545">
        <v>6679368</v>
      </c>
      <c r="B2545" t="s">
        <v>2588</v>
      </c>
      <c r="C2545" t="str">
        <f>"9783030816872"</f>
        <v>9783030816872</v>
      </c>
      <c r="D2545" t="str">
        <f>"9783030816889"</f>
        <v>9783030816889</v>
      </c>
      <c r="E2545" t="s">
        <v>756</v>
      </c>
      <c r="F2545" s="1">
        <v>44394</v>
      </c>
    </row>
    <row r="2546" spans="1:6" x14ac:dyDescent="0.25">
      <c r="A2546">
        <v>6679369</v>
      </c>
      <c r="B2546" t="s">
        <v>2589</v>
      </c>
      <c r="C2546" t="str">
        <f>"9783030749095"</f>
        <v>9783030749095</v>
      </c>
      <c r="D2546" t="str">
        <f>"9783030749101"</f>
        <v>9783030749101</v>
      </c>
      <c r="E2546" t="s">
        <v>756</v>
      </c>
      <c r="F2546" s="1">
        <v>44394</v>
      </c>
    </row>
    <row r="2547" spans="1:6" x14ac:dyDescent="0.25">
      <c r="A2547">
        <v>6679449</v>
      </c>
      <c r="B2547" t="s">
        <v>2590</v>
      </c>
      <c r="C2547" t="str">
        <f>"9783030707989"</f>
        <v>9783030707989</v>
      </c>
      <c r="D2547" t="str">
        <f>"9783030707996"</f>
        <v>9783030707996</v>
      </c>
      <c r="E2547" t="s">
        <v>756</v>
      </c>
      <c r="F2547" s="1">
        <v>44395</v>
      </c>
    </row>
    <row r="2548" spans="1:6" x14ac:dyDescent="0.25">
      <c r="A2548">
        <v>6680535</v>
      </c>
      <c r="B2548" t="s">
        <v>2591</v>
      </c>
      <c r="C2548" t="str">
        <f>"9783658328627"</f>
        <v>9783658328627</v>
      </c>
      <c r="D2548" t="str">
        <f>"9783658328634"</f>
        <v>9783658328634</v>
      </c>
      <c r="E2548" t="s">
        <v>1391</v>
      </c>
      <c r="F2548" s="1">
        <v>44397</v>
      </c>
    </row>
    <row r="2549" spans="1:6" x14ac:dyDescent="0.25">
      <c r="A2549">
        <v>6680536</v>
      </c>
      <c r="B2549" t="s">
        <v>2592</v>
      </c>
      <c r="C2549" t="str">
        <f>"9783030789343"</f>
        <v>9783030789343</v>
      </c>
      <c r="D2549" t="str">
        <f>"9783030789350"</f>
        <v>9783030789350</v>
      </c>
      <c r="E2549" t="s">
        <v>756</v>
      </c>
      <c r="F2549" s="1">
        <v>44397</v>
      </c>
    </row>
    <row r="2550" spans="1:6" x14ac:dyDescent="0.25">
      <c r="A2550">
        <v>6680537</v>
      </c>
      <c r="B2550" t="s">
        <v>2593</v>
      </c>
      <c r="C2550" t="str">
        <f>"9783030781569"</f>
        <v>9783030781569</v>
      </c>
      <c r="D2550" t="str">
        <f>"9783030781576"</f>
        <v>9783030781576</v>
      </c>
      <c r="E2550" t="s">
        <v>756</v>
      </c>
      <c r="F2550" s="1">
        <v>44397</v>
      </c>
    </row>
    <row r="2551" spans="1:6" x14ac:dyDescent="0.25">
      <c r="A2551">
        <v>6681091</v>
      </c>
      <c r="B2551" t="s">
        <v>2594</v>
      </c>
      <c r="C2551" t="str">
        <f>"9783030824266"</f>
        <v>9783030824266</v>
      </c>
      <c r="D2551" t="str">
        <f>"9783030824273"</f>
        <v>9783030824273</v>
      </c>
      <c r="E2551" t="s">
        <v>756</v>
      </c>
      <c r="F2551" s="1">
        <v>44398</v>
      </c>
    </row>
    <row r="2552" spans="1:6" x14ac:dyDescent="0.25">
      <c r="A2552">
        <v>6681092</v>
      </c>
      <c r="B2552" t="s">
        <v>2595</v>
      </c>
      <c r="C2552" t="str">
        <f>"9783658342241"</f>
        <v>9783658342241</v>
      </c>
      <c r="D2552" t="str">
        <f>"9783658342258"</f>
        <v>9783658342258</v>
      </c>
      <c r="E2552" t="s">
        <v>1391</v>
      </c>
      <c r="F2552" s="1">
        <v>44398</v>
      </c>
    </row>
    <row r="2553" spans="1:6" x14ac:dyDescent="0.25">
      <c r="A2553">
        <v>6681093</v>
      </c>
      <c r="B2553" t="s">
        <v>2596</v>
      </c>
      <c r="C2553" t="str">
        <f>"9783030725945"</f>
        <v>9783030725945</v>
      </c>
      <c r="D2553" t="str">
        <f>"9783030725952"</f>
        <v>9783030725952</v>
      </c>
      <c r="E2553" t="s">
        <v>756</v>
      </c>
      <c r="F2553" s="1">
        <v>44398</v>
      </c>
    </row>
    <row r="2554" spans="1:6" x14ac:dyDescent="0.25">
      <c r="A2554">
        <v>6683072</v>
      </c>
      <c r="B2554" t="s">
        <v>2597</v>
      </c>
      <c r="C2554" t="str">
        <f>""</f>
        <v/>
      </c>
      <c r="D2554" t="str">
        <f>"9789179296056"</f>
        <v>9789179296056</v>
      </c>
      <c r="E2554" t="s">
        <v>1268</v>
      </c>
      <c r="F2554" s="1">
        <v>44397</v>
      </c>
    </row>
    <row r="2555" spans="1:6" x14ac:dyDescent="0.25">
      <c r="A2555">
        <v>6683074</v>
      </c>
      <c r="B2555" t="s">
        <v>2598</v>
      </c>
      <c r="C2555" t="str">
        <f>""</f>
        <v/>
      </c>
      <c r="D2555" t="str">
        <f>"9789179296209"</f>
        <v>9789179296209</v>
      </c>
      <c r="E2555" t="s">
        <v>1268</v>
      </c>
      <c r="F2555" s="1">
        <v>44370</v>
      </c>
    </row>
    <row r="2556" spans="1:6" x14ac:dyDescent="0.25">
      <c r="A2556">
        <v>6683075</v>
      </c>
      <c r="B2556" t="s">
        <v>2599</v>
      </c>
      <c r="C2556" t="str">
        <f>""</f>
        <v/>
      </c>
      <c r="D2556" t="str">
        <f>"9789179296070"</f>
        <v>9789179296070</v>
      </c>
      <c r="E2556" t="s">
        <v>1268</v>
      </c>
      <c r="F2556" s="1">
        <v>44399</v>
      </c>
    </row>
    <row r="2557" spans="1:6" x14ac:dyDescent="0.25">
      <c r="A2557">
        <v>6683076</v>
      </c>
      <c r="B2557" t="s">
        <v>2600</v>
      </c>
      <c r="C2557" t="str">
        <f>""</f>
        <v/>
      </c>
      <c r="D2557" t="str">
        <f>"9789179296346"</f>
        <v>9789179296346</v>
      </c>
      <c r="E2557" t="s">
        <v>1268</v>
      </c>
      <c r="F2557" s="1">
        <v>44398</v>
      </c>
    </row>
    <row r="2558" spans="1:6" x14ac:dyDescent="0.25">
      <c r="A2558">
        <v>6683077</v>
      </c>
      <c r="B2558" t="s">
        <v>2601</v>
      </c>
      <c r="C2558" t="str">
        <f>""</f>
        <v/>
      </c>
      <c r="D2558" t="str">
        <f>"9789179296384"</f>
        <v>9789179296384</v>
      </c>
      <c r="E2558" t="s">
        <v>1268</v>
      </c>
      <c r="F2558" s="1">
        <v>44398</v>
      </c>
    </row>
    <row r="2559" spans="1:6" x14ac:dyDescent="0.25">
      <c r="A2559">
        <v>6683078</v>
      </c>
      <c r="B2559" t="s">
        <v>2602</v>
      </c>
      <c r="C2559" t="str">
        <f>""</f>
        <v/>
      </c>
      <c r="D2559" t="str">
        <f>"9789179296230"</f>
        <v>9789179296230</v>
      </c>
      <c r="E2559" t="s">
        <v>1268</v>
      </c>
      <c r="F2559" s="1">
        <v>44349</v>
      </c>
    </row>
    <row r="2560" spans="1:6" x14ac:dyDescent="0.25">
      <c r="A2560">
        <v>6683644</v>
      </c>
      <c r="B2560" t="s">
        <v>2603</v>
      </c>
      <c r="C2560" t="str">
        <f>"9789462989511"</f>
        <v>9789462989511</v>
      </c>
      <c r="D2560" t="str">
        <f>"9789048542079"</f>
        <v>9789048542079</v>
      </c>
      <c r="E2560" t="s">
        <v>59</v>
      </c>
      <c r="F2560" s="1">
        <v>44278</v>
      </c>
    </row>
    <row r="2561" spans="1:6" x14ac:dyDescent="0.25">
      <c r="A2561">
        <v>6684530</v>
      </c>
      <c r="B2561" t="s">
        <v>2604</v>
      </c>
      <c r="C2561" t="str">
        <f>"9789811626692"</f>
        <v>9789811626692</v>
      </c>
      <c r="D2561" t="str">
        <f>"9789811626708"</f>
        <v>9789811626708</v>
      </c>
      <c r="E2561" t="s">
        <v>1177</v>
      </c>
      <c r="F2561" s="1">
        <v>44404</v>
      </c>
    </row>
    <row r="2562" spans="1:6" x14ac:dyDescent="0.25">
      <c r="A2562">
        <v>6686713</v>
      </c>
      <c r="B2562" t="s">
        <v>2605</v>
      </c>
      <c r="C2562" t="str">
        <f>"9789027209276"</f>
        <v>9789027209276</v>
      </c>
      <c r="D2562" t="str">
        <f>"9789027259585"</f>
        <v>9789027259585</v>
      </c>
      <c r="E2562" t="s">
        <v>413</v>
      </c>
      <c r="F2562" s="1">
        <v>44456</v>
      </c>
    </row>
    <row r="2563" spans="1:6" x14ac:dyDescent="0.25">
      <c r="A2563">
        <v>6687084</v>
      </c>
      <c r="B2563" t="s">
        <v>2606</v>
      </c>
      <c r="C2563" t="str">
        <f>"9783030591397"</f>
        <v>9783030591397</v>
      </c>
      <c r="D2563" t="str">
        <f>"9783030591403"</f>
        <v>9783030591403</v>
      </c>
      <c r="E2563" t="s">
        <v>756</v>
      </c>
      <c r="F2563" s="1">
        <v>44409</v>
      </c>
    </row>
    <row r="2564" spans="1:6" x14ac:dyDescent="0.25">
      <c r="A2564">
        <v>6688370</v>
      </c>
      <c r="B2564" t="s">
        <v>2607</v>
      </c>
      <c r="C2564" t="str">
        <f>"9781478010647"</f>
        <v>9781478010647</v>
      </c>
      <c r="D2564" t="str">
        <f>"9781478013112"</f>
        <v>9781478013112</v>
      </c>
      <c r="E2564" t="s">
        <v>174</v>
      </c>
      <c r="F2564" s="1">
        <v>44463</v>
      </c>
    </row>
    <row r="2565" spans="1:6" x14ac:dyDescent="0.25">
      <c r="A2565">
        <v>6689123</v>
      </c>
      <c r="B2565" t="s">
        <v>2608</v>
      </c>
      <c r="C2565" t="str">
        <f>"9781800642737"</f>
        <v>9781800642737</v>
      </c>
      <c r="D2565" t="str">
        <f>"9781800642744"</f>
        <v>9781800642744</v>
      </c>
      <c r="E2565" t="s">
        <v>580</v>
      </c>
      <c r="F2565" s="1">
        <v>44409</v>
      </c>
    </row>
    <row r="2566" spans="1:6" x14ac:dyDescent="0.25">
      <c r="A2566">
        <v>6689124</v>
      </c>
      <c r="B2566" t="s">
        <v>2609</v>
      </c>
      <c r="C2566" t="str">
        <f>"9781800641334"</f>
        <v>9781800641334</v>
      </c>
      <c r="D2566" t="str">
        <f>"9781800641341"</f>
        <v>9781800641341</v>
      </c>
      <c r="E2566" t="s">
        <v>580</v>
      </c>
      <c r="F2566" s="1">
        <v>44378</v>
      </c>
    </row>
    <row r="2567" spans="1:6" x14ac:dyDescent="0.25">
      <c r="A2567">
        <v>6689306</v>
      </c>
      <c r="B2567" t="s">
        <v>2610</v>
      </c>
      <c r="C2567" t="str">
        <f>"9781484271841"</f>
        <v>9781484271841</v>
      </c>
      <c r="D2567" t="str">
        <f>"9781484271858"</f>
        <v>9781484271858</v>
      </c>
      <c r="E2567" t="s">
        <v>1604</v>
      </c>
      <c r="F2567" s="1">
        <v>44434</v>
      </c>
    </row>
    <row r="2568" spans="1:6" x14ac:dyDescent="0.25">
      <c r="A2568">
        <v>6689307</v>
      </c>
      <c r="B2568" t="s">
        <v>2611</v>
      </c>
      <c r="C2568" t="str">
        <f>"9783030676070"</f>
        <v>9783030676070</v>
      </c>
      <c r="D2568" t="str">
        <f>"9783030676087"</f>
        <v>9783030676087</v>
      </c>
      <c r="E2568" t="s">
        <v>756</v>
      </c>
      <c r="F2568" s="1">
        <v>44407</v>
      </c>
    </row>
    <row r="2569" spans="1:6" x14ac:dyDescent="0.25">
      <c r="A2569">
        <v>6689308</v>
      </c>
      <c r="B2569" t="s">
        <v>2612</v>
      </c>
      <c r="C2569" t="str">
        <f>"9783030706609"</f>
        <v>9783030706609</v>
      </c>
      <c r="D2569" t="str">
        <f>"9783030706616"</f>
        <v>9783030706616</v>
      </c>
      <c r="E2569" t="s">
        <v>756</v>
      </c>
      <c r="F2569" s="1">
        <v>44412</v>
      </c>
    </row>
    <row r="2570" spans="1:6" x14ac:dyDescent="0.25">
      <c r="A2570">
        <v>6689309</v>
      </c>
      <c r="B2570" t="s">
        <v>2613</v>
      </c>
      <c r="C2570" t="str">
        <f>"9783030764449"</f>
        <v>9783030764449</v>
      </c>
      <c r="D2570" t="str">
        <f>"9783030764456"</f>
        <v>9783030764456</v>
      </c>
      <c r="E2570" t="s">
        <v>756</v>
      </c>
      <c r="F2570" s="1">
        <v>44412</v>
      </c>
    </row>
    <row r="2571" spans="1:6" x14ac:dyDescent="0.25">
      <c r="A2571">
        <v>6689310</v>
      </c>
      <c r="B2571" t="s">
        <v>2614</v>
      </c>
      <c r="C2571" t="str">
        <f>"9783658338671"</f>
        <v>9783658338671</v>
      </c>
      <c r="D2571" t="str">
        <f>"9783658338688"</f>
        <v>9783658338688</v>
      </c>
      <c r="E2571" t="s">
        <v>1391</v>
      </c>
      <c r="F2571" s="1">
        <v>44408</v>
      </c>
    </row>
    <row r="2572" spans="1:6" x14ac:dyDescent="0.25">
      <c r="A2572">
        <v>6689311</v>
      </c>
      <c r="B2572" t="s">
        <v>2615</v>
      </c>
      <c r="C2572" t="str">
        <f>"9783030698225"</f>
        <v>9783030698225</v>
      </c>
      <c r="D2572" t="str">
        <f>"9783030698232"</f>
        <v>9783030698232</v>
      </c>
      <c r="E2572" t="s">
        <v>756</v>
      </c>
      <c r="F2572" s="1">
        <v>44411</v>
      </c>
    </row>
    <row r="2573" spans="1:6" x14ac:dyDescent="0.25">
      <c r="A2573">
        <v>6692414</v>
      </c>
      <c r="B2573" t="s">
        <v>2616</v>
      </c>
      <c r="C2573" t="str">
        <f>"9783030774882"</f>
        <v>9783030774882</v>
      </c>
      <c r="D2573" t="str">
        <f>"9783030774899"</f>
        <v>9783030774899</v>
      </c>
      <c r="E2573" t="s">
        <v>756</v>
      </c>
      <c r="F2573" s="1">
        <v>44414</v>
      </c>
    </row>
    <row r="2574" spans="1:6" x14ac:dyDescent="0.25">
      <c r="A2574">
        <v>6693082</v>
      </c>
      <c r="B2574" t="s">
        <v>2617</v>
      </c>
      <c r="C2574" t="str">
        <f>""</f>
        <v/>
      </c>
      <c r="D2574" t="str">
        <f>"9789179296315"</f>
        <v>9789179296315</v>
      </c>
      <c r="E2574" t="s">
        <v>1268</v>
      </c>
      <c r="F2574" s="1">
        <v>44412</v>
      </c>
    </row>
    <row r="2575" spans="1:6" x14ac:dyDescent="0.25">
      <c r="A2575">
        <v>6696321</v>
      </c>
      <c r="B2575" t="s">
        <v>2618</v>
      </c>
      <c r="C2575" t="str">
        <f>""</f>
        <v/>
      </c>
      <c r="D2575" t="str">
        <f>"9782759231492"</f>
        <v>9782759231492</v>
      </c>
      <c r="E2575" t="s">
        <v>626</v>
      </c>
      <c r="F2575" s="1">
        <v>44420</v>
      </c>
    </row>
    <row r="2576" spans="1:6" x14ac:dyDescent="0.25">
      <c r="A2576">
        <v>6696599</v>
      </c>
      <c r="B2576" t="s">
        <v>2619</v>
      </c>
      <c r="C2576" t="str">
        <f>"9783030730642"</f>
        <v>9783030730642</v>
      </c>
      <c r="D2576" t="str">
        <f>"9783030730659"</f>
        <v>9783030730659</v>
      </c>
      <c r="E2576" t="s">
        <v>756</v>
      </c>
      <c r="F2576" s="1">
        <v>44419</v>
      </c>
    </row>
    <row r="2577" spans="1:6" x14ac:dyDescent="0.25">
      <c r="A2577">
        <v>6696600</v>
      </c>
      <c r="B2577" t="s">
        <v>2620</v>
      </c>
      <c r="C2577" t="str">
        <f>"9783658338879"</f>
        <v>9783658338879</v>
      </c>
      <c r="D2577" t="str">
        <f>"9783658338886"</f>
        <v>9783658338886</v>
      </c>
      <c r="E2577" t="s">
        <v>1391</v>
      </c>
      <c r="F2577" s="1">
        <v>44419</v>
      </c>
    </row>
    <row r="2578" spans="1:6" x14ac:dyDescent="0.25">
      <c r="A2578">
        <v>6698484</v>
      </c>
      <c r="B2578" t="s">
        <v>2621</v>
      </c>
      <c r="C2578" t="str">
        <f>"9783030639624"</f>
        <v>9783030639624</v>
      </c>
      <c r="D2578" t="str">
        <f>"9783030639631"</f>
        <v>9783030639631</v>
      </c>
      <c r="E2578" t="s">
        <v>756</v>
      </c>
      <c r="F2578" s="1">
        <v>44367</v>
      </c>
    </row>
    <row r="2579" spans="1:6" x14ac:dyDescent="0.25">
      <c r="A2579">
        <v>6699255</v>
      </c>
      <c r="B2579" t="s">
        <v>2622</v>
      </c>
      <c r="C2579" t="str">
        <f>"9783030678050"</f>
        <v>9783030678050</v>
      </c>
      <c r="D2579" t="str">
        <f>"9783030678067"</f>
        <v>9783030678067</v>
      </c>
      <c r="E2579" t="s">
        <v>756</v>
      </c>
      <c r="F2579" s="1">
        <v>44421</v>
      </c>
    </row>
    <row r="2580" spans="1:6" x14ac:dyDescent="0.25">
      <c r="A2580">
        <v>6699256</v>
      </c>
      <c r="B2580" t="s">
        <v>2623</v>
      </c>
      <c r="C2580" t="str">
        <f>"9783030751494"</f>
        <v>9783030751494</v>
      </c>
      <c r="D2580" t="str">
        <f>"9783030751500"</f>
        <v>9783030751500</v>
      </c>
      <c r="E2580" t="s">
        <v>756</v>
      </c>
      <c r="F2580" s="1">
        <v>44422</v>
      </c>
    </row>
    <row r="2581" spans="1:6" x14ac:dyDescent="0.25">
      <c r="A2581">
        <v>6700223</v>
      </c>
      <c r="B2581" t="s">
        <v>2624</v>
      </c>
      <c r="C2581" t="str">
        <f>"9783030710682"</f>
        <v>9783030710682</v>
      </c>
      <c r="D2581" t="str">
        <f>"9783030710699"</f>
        <v>9783030710699</v>
      </c>
      <c r="E2581" t="s">
        <v>756</v>
      </c>
      <c r="F2581" s="1">
        <v>44422</v>
      </c>
    </row>
    <row r="2582" spans="1:6" x14ac:dyDescent="0.25">
      <c r="A2582">
        <v>6700285</v>
      </c>
      <c r="B2582" t="s">
        <v>2625</v>
      </c>
      <c r="C2582" t="str">
        <f>""</f>
        <v/>
      </c>
      <c r="D2582" t="str">
        <f>"9789179290030"</f>
        <v>9789179290030</v>
      </c>
      <c r="E2582" t="s">
        <v>1268</v>
      </c>
      <c r="F2582" s="1">
        <v>44421</v>
      </c>
    </row>
    <row r="2583" spans="1:6" x14ac:dyDescent="0.25">
      <c r="A2583">
        <v>6702647</v>
      </c>
      <c r="B2583" t="s">
        <v>2626</v>
      </c>
      <c r="C2583" t="str">
        <f>"9783030452308"</f>
        <v>9783030452308</v>
      </c>
      <c r="D2583" t="str">
        <f>"9783030452315"</f>
        <v>9783030452315</v>
      </c>
      <c r="E2583" t="s">
        <v>756</v>
      </c>
      <c r="F2583" s="1">
        <v>43939</v>
      </c>
    </row>
    <row r="2584" spans="1:6" x14ac:dyDescent="0.25">
      <c r="A2584">
        <v>6705010</v>
      </c>
      <c r="B2584" t="s">
        <v>2627</v>
      </c>
      <c r="C2584" t="str">
        <f>"9783030735685"</f>
        <v>9783030735685</v>
      </c>
      <c r="D2584" t="str">
        <f>"9783030735692"</f>
        <v>9783030735692</v>
      </c>
      <c r="E2584" t="s">
        <v>756</v>
      </c>
      <c r="F2584" s="1">
        <v>44424</v>
      </c>
    </row>
    <row r="2585" spans="1:6" x14ac:dyDescent="0.25">
      <c r="A2585">
        <v>6706670</v>
      </c>
      <c r="B2585" t="s">
        <v>2628</v>
      </c>
      <c r="C2585" t="str">
        <f>"9780472054855"</f>
        <v>9780472054855</v>
      </c>
      <c r="D2585" t="str">
        <f>"9780472902415"</f>
        <v>9780472902415</v>
      </c>
      <c r="E2585" t="s">
        <v>689</v>
      </c>
      <c r="F2585" s="1">
        <v>44377</v>
      </c>
    </row>
    <row r="2586" spans="1:6" x14ac:dyDescent="0.25">
      <c r="A2586">
        <v>6706672</v>
      </c>
      <c r="B2586" t="s">
        <v>2629</v>
      </c>
      <c r="C2586" t="str">
        <f>"9780472074792"</f>
        <v>9780472074792</v>
      </c>
      <c r="D2586" t="str">
        <f>"9780472128631"</f>
        <v>9780472128631</v>
      </c>
      <c r="E2586" t="s">
        <v>689</v>
      </c>
      <c r="F2586" s="1">
        <v>44410</v>
      </c>
    </row>
    <row r="2587" spans="1:6" x14ac:dyDescent="0.25">
      <c r="A2587">
        <v>6706674</v>
      </c>
      <c r="B2587" t="s">
        <v>2630</v>
      </c>
      <c r="C2587" t="str">
        <f>"9780472054473"</f>
        <v>9780472054473</v>
      </c>
      <c r="D2587" t="str">
        <f>"9780472901241"</f>
        <v>9780472901241</v>
      </c>
      <c r="E2587" t="s">
        <v>689</v>
      </c>
      <c r="F2587" s="1">
        <v>44407</v>
      </c>
    </row>
    <row r="2588" spans="1:6" x14ac:dyDescent="0.25">
      <c r="A2588">
        <v>6707454</v>
      </c>
      <c r="B2588" t="s">
        <v>2631</v>
      </c>
      <c r="C2588" t="str">
        <f>"9783030658236"</f>
        <v>9783030658236</v>
      </c>
      <c r="D2588" t="str">
        <f>"9783030658243"</f>
        <v>9783030658243</v>
      </c>
      <c r="E2588" t="s">
        <v>756</v>
      </c>
      <c r="F2588" s="1">
        <v>44426</v>
      </c>
    </row>
    <row r="2589" spans="1:6" x14ac:dyDescent="0.25">
      <c r="A2589">
        <v>6708504</v>
      </c>
      <c r="B2589" t="s">
        <v>2632</v>
      </c>
      <c r="C2589" t="str">
        <f>""</f>
        <v/>
      </c>
      <c r="D2589" t="str">
        <f>"9789179296575"</f>
        <v>9789179296575</v>
      </c>
      <c r="E2589" t="s">
        <v>1268</v>
      </c>
      <c r="F2589" s="1">
        <v>44424</v>
      </c>
    </row>
    <row r="2590" spans="1:6" x14ac:dyDescent="0.25">
      <c r="A2590">
        <v>6708512</v>
      </c>
      <c r="B2590" t="s">
        <v>2633</v>
      </c>
      <c r="C2590" t="str">
        <f>""</f>
        <v/>
      </c>
      <c r="D2590" t="str">
        <f>"9789179290245"</f>
        <v>9789179290245</v>
      </c>
      <c r="E2590" t="s">
        <v>1268</v>
      </c>
      <c r="F2590" s="1">
        <v>44424</v>
      </c>
    </row>
    <row r="2591" spans="1:6" x14ac:dyDescent="0.25">
      <c r="A2591">
        <v>6708513</v>
      </c>
      <c r="B2591" t="s">
        <v>2634</v>
      </c>
      <c r="C2591" t="str">
        <f>""</f>
        <v/>
      </c>
      <c r="D2591" t="str">
        <f>"9789179290115"</f>
        <v>9789179290115</v>
      </c>
      <c r="E2591" t="s">
        <v>1268</v>
      </c>
      <c r="F2591" s="1">
        <v>44426</v>
      </c>
    </row>
    <row r="2592" spans="1:6" x14ac:dyDescent="0.25">
      <c r="A2592">
        <v>6709073</v>
      </c>
      <c r="B2592" t="s">
        <v>2635</v>
      </c>
      <c r="C2592" t="str">
        <f>"9781137378460"</f>
        <v>9781137378460</v>
      </c>
      <c r="D2592" t="str">
        <f>"9781137378477"</f>
        <v>9781137378477</v>
      </c>
      <c r="E2592" t="s">
        <v>1465</v>
      </c>
      <c r="F2592" s="1">
        <v>41996</v>
      </c>
    </row>
    <row r="2593" spans="1:6" x14ac:dyDescent="0.25">
      <c r="A2593">
        <v>6709812</v>
      </c>
      <c r="B2593" t="s">
        <v>2636</v>
      </c>
      <c r="C2593" t="str">
        <f>"9783658312787"</f>
        <v>9783658312787</v>
      </c>
      <c r="D2593" t="str">
        <f>"9783658312794"</f>
        <v>9783658312794</v>
      </c>
      <c r="E2593" t="s">
        <v>1391</v>
      </c>
      <c r="F2593" s="1">
        <v>44055</v>
      </c>
    </row>
    <row r="2594" spans="1:6" x14ac:dyDescent="0.25">
      <c r="A2594">
        <v>6709813</v>
      </c>
      <c r="B2594" t="s">
        <v>2637</v>
      </c>
      <c r="C2594" t="str">
        <f>"9789811543265"</f>
        <v>9789811543265</v>
      </c>
      <c r="D2594" t="str">
        <f>"9789811543272"</f>
        <v>9789811543272</v>
      </c>
      <c r="E2594" t="s">
        <v>1177</v>
      </c>
      <c r="F2594" s="1">
        <v>43995</v>
      </c>
    </row>
    <row r="2595" spans="1:6" x14ac:dyDescent="0.25">
      <c r="A2595">
        <v>6709814</v>
      </c>
      <c r="B2595" t="s">
        <v>2638</v>
      </c>
      <c r="C2595" t="str">
        <f>"9789811628603"</f>
        <v>9789811628603</v>
      </c>
      <c r="D2595" t="str">
        <f>"9789811628610"</f>
        <v>9789811628610</v>
      </c>
      <c r="E2595" t="s">
        <v>1177</v>
      </c>
      <c r="F2595" s="1">
        <v>44427</v>
      </c>
    </row>
    <row r="2596" spans="1:6" x14ac:dyDescent="0.25">
      <c r="A2596">
        <v>6709815</v>
      </c>
      <c r="B2596" t="s">
        <v>2639</v>
      </c>
      <c r="C2596" t="str">
        <f>"9783658354787"</f>
        <v>9783658354787</v>
      </c>
      <c r="D2596" t="str">
        <f>"9783658354794"</f>
        <v>9783658354794</v>
      </c>
      <c r="E2596" t="s">
        <v>1391</v>
      </c>
      <c r="F2596" s="1">
        <v>44428</v>
      </c>
    </row>
    <row r="2597" spans="1:6" x14ac:dyDescent="0.25">
      <c r="A2597">
        <v>6709816</v>
      </c>
      <c r="B2597" t="s">
        <v>2640</v>
      </c>
      <c r="C2597" t="str">
        <f>"9783658347659"</f>
        <v>9783658347659</v>
      </c>
      <c r="D2597" t="str">
        <f>"9783658347666"</f>
        <v>9783658347666</v>
      </c>
      <c r="E2597" t="s">
        <v>1391</v>
      </c>
      <c r="F2597" s="1">
        <v>44428</v>
      </c>
    </row>
    <row r="2598" spans="1:6" x14ac:dyDescent="0.25">
      <c r="A2598">
        <v>6710764</v>
      </c>
      <c r="B2598" t="s">
        <v>2641</v>
      </c>
      <c r="C2598" t="str">
        <f>"9783030768812"</f>
        <v>9783030768812</v>
      </c>
      <c r="D2598" t="str">
        <f>"9783030768829"</f>
        <v>9783030768829</v>
      </c>
      <c r="E2598" t="s">
        <v>756</v>
      </c>
      <c r="F2598" s="1">
        <v>44429</v>
      </c>
    </row>
    <row r="2599" spans="1:6" x14ac:dyDescent="0.25">
      <c r="A2599">
        <v>6710765</v>
      </c>
      <c r="B2599" t="s">
        <v>2642</v>
      </c>
      <c r="C2599" t="str">
        <f>"9783658348502"</f>
        <v>9783658348502</v>
      </c>
      <c r="D2599" t="str">
        <f>"9783658348519"</f>
        <v>9783658348519</v>
      </c>
      <c r="E2599" t="s">
        <v>1391</v>
      </c>
      <c r="F2599" s="1">
        <v>44430</v>
      </c>
    </row>
    <row r="2600" spans="1:6" x14ac:dyDescent="0.25">
      <c r="A2600">
        <v>6713236</v>
      </c>
      <c r="B2600" t="s">
        <v>2643</v>
      </c>
      <c r="C2600" t="str">
        <f>"9783030748166"</f>
        <v>9783030748166</v>
      </c>
      <c r="D2600" t="str">
        <f>"9783030748173"</f>
        <v>9783030748173</v>
      </c>
      <c r="E2600" t="s">
        <v>756</v>
      </c>
      <c r="F2600" s="1">
        <v>44434</v>
      </c>
    </row>
    <row r="2601" spans="1:6" x14ac:dyDescent="0.25">
      <c r="A2601">
        <v>6714071</v>
      </c>
      <c r="B2601" t="s">
        <v>2644</v>
      </c>
      <c r="C2601" t="str">
        <f>"9781800642133"</f>
        <v>9781800642133</v>
      </c>
      <c r="D2601" t="str">
        <f>"9781800642140"</f>
        <v>9781800642140</v>
      </c>
      <c r="E2601" t="s">
        <v>580</v>
      </c>
      <c r="F2601" s="1">
        <v>44416</v>
      </c>
    </row>
    <row r="2602" spans="1:6" x14ac:dyDescent="0.25">
      <c r="A2602">
        <v>6714571</v>
      </c>
      <c r="B2602" t="s">
        <v>2645</v>
      </c>
      <c r="C2602" t="str">
        <f>""</f>
        <v/>
      </c>
      <c r="D2602" t="str">
        <f>"9789179290160"</f>
        <v>9789179290160</v>
      </c>
      <c r="E2602" t="s">
        <v>1268</v>
      </c>
      <c r="F2602" s="1">
        <v>44432</v>
      </c>
    </row>
    <row r="2603" spans="1:6" x14ac:dyDescent="0.25">
      <c r="A2603">
        <v>6714572</v>
      </c>
      <c r="B2603" t="s">
        <v>2646</v>
      </c>
      <c r="C2603" t="str">
        <f>""</f>
        <v/>
      </c>
      <c r="D2603" t="str">
        <f>"9789179290177"</f>
        <v>9789179290177</v>
      </c>
      <c r="E2603" t="s">
        <v>1268</v>
      </c>
      <c r="F2603" s="1">
        <v>44425</v>
      </c>
    </row>
    <row r="2604" spans="1:6" x14ac:dyDescent="0.25">
      <c r="A2604">
        <v>6714573</v>
      </c>
      <c r="B2604" t="s">
        <v>2647</v>
      </c>
      <c r="C2604" t="str">
        <f>""</f>
        <v/>
      </c>
      <c r="D2604" t="str">
        <f>"9789179290252"</f>
        <v>9789179290252</v>
      </c>
      <c r="E2604" t="s">
        <v>1268</v>
      </c>
      <c r="F2604" s="1">
        <v>44432</v>
      </c>
    </row>
    <row r="2605" spans="1:6" x14ac:dyDescent="0.25">
      <c r="A2605">
        <v>6714574</v>
      </c>
      <c r="B2605" t="s">
        <v>2648</v>
      </c>
      <c r="C2605" t="str">
        <f>""</f>
        <v/>
      </c>
      <c r="D2605" t="str">
        <f>"9789179296339"</f>
        <v>9789179296339</v>
      </c>
      <c r="E2605" t="s">
        <v>1268</v>
      </c>
      <c r="F2605" s="1">
        <v>44434</v>
      </c>
    </row>
    <row r="2606" spans="1:6" x14ac:dyDescent="0.25">
      <c r="A2606">
        <v>6714634</v>
      </c>
      <c r="B2606" t="s">
        <v>2649</v>
      </c>
      <c r="C2606" t="str">
        <f>"9783658345686"</f>
        <v>9783658345686</v>
      </c>
      <c r="D2606" t="str">
        <f>"9783658345693"</f>
        <v>9783658345693</v>
      </c>
      <c r="E2606" t="s">
        <v>1391</v>
      </c>
      <c r="F2606" s="1">
        <v>44437</v>
      </c>
    </row>
    <row r="2607" spans="1:6" x14ac:dyDescent="0.25">
      <c r="A2607">
        <v>6715041</v>
      </c>
      <c r="B2607" t="s">
        <v>2650</v>
      </c>
      <c r="C2607" t="str">
        <f>""</f>
        <v/>
      </c>
      <c r="D2607" t="str">
        <f>"9782759232918"</f>
        <v>9782759232918</v>
      </c>
      <c r="E2607" t="s">
        <v>626</v>
      </c>
      <c r="F2607" s="1">
        <v>44385</v>
      </c>
    </row>
    <row r="2608" spans="1:6" x14ac:dyDescent="0.25">
      <c r="A2608">
        <v>6715042</v>
      </c>
      <c r="B2608" t="s">
        <v>2651</v>
      </c>
      <c r="C2608" t="str">
        <f>""</f>
        <v/>
      </c>
      <c r="D2608" t="str">
        <f>"9782759233274"</f>
        <v>9782759233274</v>
      </c>
      <c r="E2608" t="s">
        <v>626</v>
      </c>
      <c r="F2608" s="1">
        <v>44357</v>
      </c>
    </row>
    <row r="2609" spans="1:6" x14ac:dyDescent="0.25">
      <c r="A2609">
        <v>6715872</v>
      </c>
      <c r="B2609" t="s">
        <v>2652</v>
      </c>
      <c r="C2609" t="str">
        <f>"9781478013723"</f>
        <v>9781478013723</v>
      </c>
      <c r="D2609" t="str">
        <f>"9781478021957"</f>
        <v>9781478021957</v>
      </c>
      <c r="E2609" t="s">
        <v>174</v>
      </c>
      <c r="F2609" s="1">
        <v>44519</v>
      </c>
    </row>
    <row r="2610" spans="1:6" x14ac:dyDescent="0.25">
      <c r="A2610">
        <v>6716486</v>
      </c>
      <c r="B2610" t="s">
        <v>2653</v>
      </c>
      <c r="C2610" t="str">
        <f>"9780472131747"</f>
        <v>9780472131747</v>
      </c>
      <c r="D2610" t="str">
        <f>"9780472901234"</f>
        <v>9780472901234</v>
      </c>
      <c r="E2610" t="s">
        <v>689</v>
      </c>
      <c r="F2610" s="1">
        <v>43920</v>
      </c>
    </row>
    <row r="2611" spans="1:6" x14ac:dyDescent="0.25">
      <c r="A2611">
        <v>6716487</v>
      </c>
      <c r="B2611" t="s">
        <v>2654</v>
      </c>
      <c r="C2611" t="str">
        <f>"9780472073719"</f>
        <v>9780472073719</v>
      </c>
      <c r="D2611" t="str">
        <f>"9780472900725"</f>
        <v>9780472900725</v>
      </c>
      <c r="E2611" t="s">
        <v>689</v>
      </c>
      <c r="F2611" s="1">
        <v>43061</v>
      </c>
    </row>
    <row r="2612" spans="1:6" x14ac:dyDescent="0.25">
      <c r="A2612">
        <v>6716489</v>
      </c>
      <c r="B2612" t="s">
        <v>2655</v>
      </c>
      <c r="C2612" t="str">
        <f>"9780891480273"</f>
        <v>9780891480273</v>
      </c>
      <c r="D2612" t="str">
        <f>"9780472901647"</f>
        <v>9780472901647</v>
      </c>
      <c r="E2612" t="s">
        <v>2248</v>
      </c>
      <c r="F2612" s="1">
        <v>30711</v>
      </c>
    </row>
    <row r="2613" spans="1:6" x14ac:dyDescent="0.25">
      <c r="A2613">
        <v>6716612</v>
      </c>
      <c r="B2613" t="s">
        <v>2656</v>
      </c>
      <c r="C2613" t="str">
        <f>""</f>
        <v/>
      </c>
      <c r="D2613" t="str">
        <f>"9782759233823"</f>
        <v>9782759233823</v>
      </c>
      <c r="E2613" t="s">
        <v>626</v>
      </c>
      <c r="F2613" s="1">
        <v>44440</v>
      </c>
    </row>
    <row r="2614" spans="1:6" x14ac:dyDescent="0.25">
      <c r="A2614">
        <v>6716674</v>
      </c>
      <c r="B2614" t="s">
        <v>2657</v>
      </c>
      <c r="C2614" t="str">
        <f>"9783030694401"</f>
        <v>9783030694401</v>
      </c>
      <c r="D2614" t="str">
        <f>"9783030694418"</f>
        <v>9783030694418</v>
      </c>
      <c r="E2614" t="s">
        <v>756</v>
      </c>
      <c r="F2614" s="1">
        <v>44440</v>
      </c>
    </row>
    <row r="2615" spans="1:6" x14ac:dyDescent="0.25">
      <c r="A2615">
        <v>6716675</v>
      </c>
      <c r="B2615" t="s">
        <v>2658</v>
      </c>
      <c r="C2615" t="str">
        <f>"9783030757458"</f>
        <v>9783030757458</v>
      </c>
      <c r="D2615" t="str">
        <f>"9783030757465"</f>
        <v>9783030757465</v>
      </c>
      <c r="E2615" t="s">
        <v>756</v>
      </c>
      <c r="F2615" s="1">
        <v>44440</v>
      </c>
    </row>
    <row r="2616" spans="1:6" x14ac:dyDescent="0.25">
      <c r="A2616">
        <v>6716676</v>
      </c>
      <c r="B2616" t="s">
        <v>2659</v>
      </c>
      <c r="C2616" t="str">
        <f>"9783658351441"</f>
        <v>9783658351441</v>
      </c>
      <c r="D2616" t="str">
        <f>"9783658351458"</f>
        <v>9783658351458</v>
      </c>
      <c r="E2616" t="s">
        <v>1391</v>
      </c>
      <c r="F2616" s="1">
        <v>44440</v>
      </c>
    </row>
    <row r="2617" spans="1:6" x14ac:dyDescent="0.25">
      <c r="A2617">
        <v>6716677</v>
      </c>
      <c r="B2617" t="s">
        <v>2660</v>
      </c>
      <c r="C2617" t="str">
        <f>"9783658331030"</f>
        <v>9783658331030</v>
      </c>
      <c r="D2617" t="str">
        <f>"9783658331047"</f>
        <v>9783658331047</v>
      </c>
      <c r="E2617" t="s">
        <v>1391</v>
      </c>
      <c r="F2617" s="1">
        <v>44440</v>
      </c>
    </row>
    <row r="2618" spans="1:6" x14ac:dyDescent="0.25">
      <c r="A2618">
        <v>6717895</v>
      </c>
      <c r="B2618" t="s">
        <v>2661</v>
      </c>
      <c r="C2618" t="str">
        <f>"9783030787233"</f>
        <v>9783030787233</v>
      </c>
      <c r="D2618" t="str">
        <f>"9783030787240"</f>
        <v>9783030787240</v>
      </c>
      <c r="E2618" t="s">
        <v>756</v>
      </c>
      <c r="F2618" s="1">
        <v>44441</v>
      </c>
    </row>
    <row r="2619" spans="1:6" x14ac:dyDescent="0.25">
      <c r="A2619">
        <v>6717896</v>
      </c>
      <c r="B2619" t="s">
        <v>2662</v>
      </c>
      <c r="C2619" t="str">
        <f>"9783030672447"</f>
        <v>9783030672447</v>
      </c>
      <c r="D2619" t="str">
        <f>"9783030672454"</f>
        <v>9783030672454</v>
      </c>
      <c r="E2619" t="s">
        <v>756</v>
      </c>
      <c r="F2619" s="1">
        <v>44441</v>
      </c>
    </row>
    <row r="2620" spans="1:6" x14ac:dyDescent="0.25">
      <c r="A2620">
        <v>6719370</v>
      </c>
      <c r="B2620" t="s">
        <v>2663</v>
      </c>
      <c r="C2620" t="str">
        <f>"9783030796747"</f>
        <v>9783030796747</v>
      </c>
      <c r="D2620" t="str">
        <f>"9783030796754"</f>
        <v>9783030796754</v>
      </c>
      <c r="E2620" t="s">
        <v>756</v>
      </c>
      <c r="F2620" s="1">
        <v>44442</v>
      </c>
    </row>
    <row r="2621" spans="1:6" x14ac:dyDescent="0.25">
      <c r="A2621">
        <v>6719986</v>
      </c>
      <c r="B2621" t="s">
        <v>2664</v>
      </c>
      <c r="C2621" t="str">
        <f>"9783030805104"</f>
        <v>9783030805104</v>
      </c>
      <c r="D2621" t="str">
        <f>"9783030805111"</f>
        <v>9783030805111</v>
      </c>
      <c r="E2621" t="s">
        <v>756</v>
      </c>
      <c r="F2621" s="1">
        <v>44443</v>
      </c>
    </row>
    <row r="2622" spans="1:6" x14ac:dyDescent="0.25">
      <c r="A2622">
        <v>6720001</v>
      </c>
      <c r="B2622" t="s">
        <v>2665</v>
      </c>
      <c r="C2622" t="str">
        <f>""</f>
        <v/>
      </c>
      <c r="D2622" t="str">
        <f>"9789179296063"</f>
        <v>9789179296063</v>
      </c>
      <c r="E2622" t="s">
        <v>1268</v>
      </c>
      <c r="F2622" s="1">
        <v>44439</v>
      </c>
    </row>
    <row r="2623" spans="1:6" x14ac:dyDescent="0.25">
      <c r="A2623">
        <v>6720002</v>
      </c>
      <c r="B2623" t="s">
        <v>2666</v>
      </c>
      <c r="C2623" t="str">
        <f>""</f>
        <v/>
      </c>
      <c r="D2623" t="str">
        <f>"9789179290016"</f>
        <v>9789179290016</v>
      </c>
      <c r="E2623" t="s">
        <v>1268</v>
      </c>
      <c r="F2623" s="1">
        <v>44439</v>
      </c>
    </row>
    <row r="2624" spans="1:6" x14ac:dyDescent="0.25">
      <c r="A2624">
        <v>6720003</v>
      </c>
      <c r="B2624" t="s">
        <v>2667</v>
      </c>
      <c r="C2624" t="str">
        <f>""</f>
        <v/>
      </c>
      <c r="D2624" t="str">
        <f>"9789179296049"</f>
        <v>9789179296049</v>
      </c>
      <c r="E2624" t="s">
        <v>1268</v>
      </c>
      <c r="F2624" s="1">
        <v>44354</v>
      </c>
    </row>
    <row r="2625" spans="1:6" x14ac:dyDescent="0.25">
      <c r="A2625">
        <v>6720004</v>
      </c>
      <c r="B2625" t="s">
        <v>2668</v>
      </c>
      <c r="C2625" t="str">
        <f>""</f>
        <v/>
      </c>
      <c r="D2625" t="str">
        <f>"9789179296100"</f>
        <v>9789179296100</v>
      </c>
      <c r="E2625" t="s">
        <v>1268</v>
      </c>
      <c r="F2625" s="1">
        <v>44426</v>
      </c>
    </row>
    <row r="2626" spans="1:6" x14ac:dyDescent="0.25">
      <c r="A2626">
        <v>6720005</v>
      </c>
      <c r="B2626" t="s">
        <v>2669</v>
      </c>
      <c r="C2626" t="str">
        <f>""</f>
        <v/>
      </c>
      <c r="D2626" t="str">
        <f>"9789179296476"</f>
        <v>9789179296476</v>
      </c>
      <c r="E2626" t="s">
        <v>1268</v>
      </c>
      <c r="F2626" s="1">
        <v>44438</v>
      </c>
    </row>
    <row r="2627" spans="1:6" x14ac:dyDescent="0.25">
      <c r="A2627">
        <v>6720434</v>
      </c>
      <c r="B2627" t="s">
        <v>2670</v>
      </c>
      <c r="C2627" t="str">
        <f>"9789811651373"</f>
        <v>9789811651373</v>
      </c>
      <c r="D2627" t="str">
        <f>"9789811651380"</f>
        <v>9789811651380</v>
      </c>
      <c r="E2627" t="s">
        <v>1177</v>
      </c>
      <c r="F2627" s="1">
        <v>44444</v>
      </c>
    </row>
    <row r="2628" spans="1:6" x14ac:dyDescent="0.25">
      <c r="A2628">
        <v>6722061</v>
      </c>
      <c r="B2628" t="s">
        <v>2671</v>
      </c>
      <c r="C2628" t="str">
        <f>"9783030756444"</f>
        <v>9783030756444</v>
      </c>
      <c r="D2628" t="str">
        <f>"9783030756451"</f>
        <v>9783030756451</v>
      </c>
      <c r="E2628" t="s">
        <v>756</v>
      </c>
      <c r="F2628" s="1">
        <v>44447</v>
      </c>
    </row>
    <row r="2629" spans="1:6" x14ac:dyDescent="0.25">
      <c r="A2629">
        <v>6722062</v>
      </c>
      <c r="B2629" t="s">
        <v>2672</v>
      </c>
      <c r="C2629" t="str">
        <f>"9789402420852"</f>
        <v>9789402420852</v>
      </c>
      <c r="D2629" t="str">
        <f>"9789402420869"</f>
        <v>9789402420869</v>
      </c>
      <c r="E2629" t="s">
        <v>1458</v>
      </c>
      <c r="F2629" s="1">
        <v>44447</v>
      </c>
    </row>
    <row r="2630" spans="1:6" x14ac:dyDescent="0.25">
      <c r="A2630">
        <v>6724812</v>
      </c>
      <c r="B2630" t="s">
        <v>2673</v>
      </c>
      <c r="C2630" t="str">
        <f>"9783030744939"</f>
        <v>9783030744939</v>
      </c>
      <c r="D2630" t="str">
        <f>"9783030744946"</f>
        <v>9783030744946</v>
      </c>
      <c r="E2630" t="s">
        <v>756</v>
      </c>
      <c r="F2630" s="1">
        <v>44449</v>
      </c>
    </row>
    <row r="2631" spans="1:6" x14ac:dyDescent="0.25">
      <c r="A2631">
        <v>6724813</v>
      </c>
      <c r="B2631" t="s">
        <v>2674</v>
      </c>
      <c r="C2631" t="str">
        <f>"9783658350697"</f>
        <v>9783658350697</v>
      </c>
      <c r="D2631" t="str">
        <f>"9783658350703"</f>
        <v>9783658350703</v>
      </c>
      <c r="E2631" t="s">
        <v>1391</v>
      </c>
      <c r="F2631" s="1">
        <v>44449</v>
      </c>
    </row>
    <row r="2632" spans="1:6" x14ac:dyDescent="0.25">
      <c r="A2632">
        <v>6724954</v>
      </c>
      <c r="B2632" t="s">
        <v>2675</v>
      </c>
      <c r="C2632" t="str">
        <f>"9781978817920"</f>
        <v>9781978817920</v>
      </c>
      <c r="D2632" t="str">
        <f>"9781978817951"</f>
        <v>9781978817951</v>
      </c>
      <c r="E2632" t="s">
        <v>51</v>
      </c>
      <c r="F2632" s="1">
        <v>44484</v>
      </c>
    </row>
    <row r="2633" spans="1:6" x14ac:dyDescent="0.25">
      <c r="A2633">
        <v>6725018</v>
      </c>
      <c r="B2633" t="s">
        <v>2676</v>
      </c>
      <c r="C2633" t="str">
        <f>"9783030806576"</f>
        <v>9783030806576</v>
      </c>
      <c r="D2633" t="str">
        <f>"9783030806583"</f>
        <v>9783030806583</v>
      </c>
      <c r="E2633" t="s">
        <v>756</v>
      </c>
      <c r="F2633" s="1">
        <v>44450</v>
      </c>
    </row>
    <row r="2634" spans="1:6" x14ac:dyDescent="0.25">
      <c r="A2634">
        <v>6725019</v>
      </c>
      <c r="B2634" t="s">
        <v>2677</v>
      </c>
      <c r="C2634" t="str">
        <f>"9783030638917"</f>
        <v>9783030638917</v>
      </c>
      <c r="D2634" t="str">
        <f>"9783030638924"</f>
        <v>9783030638924</v>
      </c>
      <c r="E2634" t="s">
        <v>756</v>
      </c>
      <c r="F2634" s="1">
        <v>44450</v>
      </c>
    </row>
    <row r="2635" spans="1:6" x14ac:dyDescent="0.25">
      <c r="A2635">
        <v>6725030</v>
      </c>
      <c r="B2635" t="s">
        <v>2678</v>
      </c>
      <c r="C2635" t="str">
        <f>""</f>
        <v/>
      </c>
      <c r="D2635" t="str">
        <f>"9789179290221"</f>
        <v>9789179290221</v>
      </c>
      <c r="E2635" t="s">
        <v>1268</v>
      </c>
      <c r="F2635" s="1">
        <v>44445</v>
      </c>
    </row>
    <row r="2636" spans="1:6" x14ac:dyDescent="0.25">
      <c r="A2636">
        <v>6725031</v>
      </c>
      <c r="B2636" t="s">
        <v>2679</v>
      </c>
      <c r="C2636" t="str">
        <f>""</f>
        <v/>
      </c>
      <c r="D2636" t="str">
        <f>"9789179290061"</f>
        <v>9789179290061</v>
      </c>
      <c r="E2636" t="s">
        <v>1268</v>
      </c>
      <c r="F2636" s="1">
        <v>44427</v>
      </c>
    </row>
    <row r="2637" spans="1:6" x14ac:dyDescent="0.25">
      <c r="A2637">
        <v>6725199</v>
      </c>
      <c r="B2637" t="s">
        <v>2680</v>
      </c>
      <c r="C2637" t="str">
        <f>"9789811645778"</f>
        <v>9789811645778</v>
      </c>
      <c r="D2637" t="str">
        <f>"9789811645785"</f>
        <v>9789811645785</v>
      </c>
      <c r="E2637" t="s">
        <v>1177</v>
      </c>
      <c r="F2637" s="1">
        <v>44451</v>
      </c>
    </row>
    <row r="2638" spans="1:6" x14ac:dyDescent="0.25">
      <c r="A2638">
        <v>6726326</v>
      </c>
      <c r="B2638" t="s">
        <v>2681</v>
      </c>
      <c r="C2638" t="str">
        <f>"9781783749423"</f>
        <v>9781783749423</v>
      </c>
      <c r="D2638" t="str">
        <f>"9781783749430"</f>
        <v>9781783749430</v>
      </c>
      <c r="E2638" t="s">
        <v>580</v>
      </c>
      <c r="F2638" s="1">
        <v>44416</v>
      </c>
    </row>
    <row r="2639" spans="1:6" x14ac:dyDescent="0.25">
      <c r="A2639">
        <v>6726436</v>
      </c>
      <c r="B2639" t="s">
        <v>2682</v>
      </c>
      <c r="C2639" t="str">
        <f>"9783658353827"</f>
        <v>9783658353827</v>
      </c>
      <c r="D2639" t="str">
        <f>"9783658353834"</f>
        <v>9783658353834</v>
      </c>
      <c r="E2639" t="s">
        <v>1391</v>
      </c>
      <c r="F2639" s="1">
        <v>44453</v>
      </c>
    </row>
    <row r="2640" spans="1:6" x14ac:dyDescent="0.25">
      <c r="A2640">
        <v>6726791</v>
      </c>
      <c r="B2640" t="s">
        <v>2683</v>
      </c>
      <c r="C2640" t="str">
        <f>"9781438485737"</f>
        <v>9781438485737</v>
      </c>
      <c r="D2640" t="str">
        <f>"9781438485744"</f>
        <v>9781438485744</v>
      </c>
      <c r="E2640" t="s">
        <v>684</v>
      </c>
      <c r="F2640" s="1">
        <v>44470</v>
      </c>
    </row>
    <row r="2641" spans="1:6" x14ac:dyDescent="0.25">
      <c r="A2641">
        <v>6727208</v>
      </c>
      <c r="B2641" t="s">
        <v>2684</v>
      </c>
      <c r="C2641" t="str">
        <f>"9783030814991"</f>
        <v>9783030814991</v>
      </c>
      <c r="D2641" t="str">
        <f>"9783030815004"</f>
        <v>9783030815004</v>
      </c>
      <c r="E2641" t="s">
        <v>756</v>
      </c>
      <c r="F2641" s="1">
        <v>44454</v>
      </c>
    </row>
    <row r="2642" spans="1:6" x14ac:dyDescent="0.25">
      <c r="A2642">
        <v>6729462</v>
      </c>
      <c r="B2642" t="s">
        <v>2685</v>
      </c>
      <c r="C2642" t="str">
        <f>"9783030787325"</f>
        <v>9783030787325</v>
      </c>
      <c r="D2642" t="str">
        <f>"9783030787332"</f>
        <v>9783030787332</v>
      </c>
      <c r="E2642" t="s">
        <v>756</v>
      </c>
      <c r="F2642" s="1">
        <v>44456</v>
      </c>
    </row>
    <row r="2643" spans="1:6" x14ac:dyDescent="0.25">
      <c r="A2643">
        <v>6729463</v>
      </c>
      <c r="B2643" t="s">
        <v>2686</v>
      </c>
      <c r="C2643" t="str">
        <f>"9783662625613"</f>
        <v>9783662625613</v>
      </c>
      <c r="D2643" t="str">
        <f>"9783662625620"</f>
        <v>9783662625620</v>
      </c>
      <c r="E2643" t="s">
        <v>1852</v>
      </c>
      <c r="F2643" s="1">
        <v>44456</v>
      </c>
    </row>
    <row r="2644" spans="1:6" x14ac:dyDescent="0.25">
      <c r="A2644">
        <v>6729646</v>
      </c>
      <c r="B2644" t="s">
        <v>2687</v>
      </c>
      <c r="C2644" t="str">
        <f>""</f>
        <v/>
      </c>
      <c r="D2644" t="str">
        <f>"9789179290238"</f>
        <v>9789179290238</v>
      </c>
      <c r="E2644" t="s">
        <v>1268</v>
      </c>
      <c r="F2644" s="1">
        <v>44450</v>
      </c>
    </row>
    <row r="2645" spans="1:6" x14ac:dyDescent="0.25">
      <c r="A2645">
        <v>6729647</v>
      </c>
      <c r="B2645" t="s">
        <v>2688</v>
      </c>
      <c r="C2645" t="str">
        <f>""</f>
        <v/>
      </c>
      <c r="D2645" t="str">
        <f>"9789179290344"</f>
        <v>9789179290344</v>
      </c>
      <c r="E2645" t="s">
        <v>1268</v>
      </c>
      <c r="F2645" s="1">
        <v>44431</v>
      </c>
    </row>
    <row r="2646" spans="1:6" x14ac:dyDescent="0.25">
      <c r="A2646">
        <v>6729670</v>
      </c>
      <c r="B2646" t="s">
        <v>2689</v>
      </c>
      <c r="C2646" t="str">
        <f>""</f>
        <v/>
      </c>
      <c r="D2646" t="str">
        <f>"9789179290351"</f>
        <v>9789179290351</v>
      </c>
      <c r="E2646" t="s">
        <v>1268</v>
      </c>
      <c r="F2646" s="1">
        <v>44445</v>
      </c>
    </row>
    <row r="2647" spans="1:6" x14ac:dyDescent="0.25">
      <c r="A2647">
        <v>6730700</v>
      </c>
      <c r="B2647" t="s">
        <v>2690</v>
      </c>
      <c r="C2647" t="str">
        <f>"9783658351205"</f>
        <v>9783658351205</v>
      </c>
      <c r="D2647" t="str">
        <f>"9783658351212"</f>
        <v>9783658351212</v>
      </c>
      <c r="E2647" t="s">
        <v>1391</v>
      </c>
      <c r="F2647" s="1">
        <v>44460</v>
      </c>
    </row>
    <row r="2648" spans="1:6" x14ac:dyDescent="0.25">
      <c r="A2648">
        <v>6730701</v>
      </c>
      <c r="B2648" t="s">
        <v>2691</v>
      </c>
      <c r="C2648" t="str">
        <f>"9789462654709"</f>
        <v>9789462654709</v>
      </c>
      <c r="D2648" t="str">
        <f>"9789462654716"</f>
        <v>9789462654716</v>
      </c>
      <c r="E2648" t="s">
        <v>1671</v>
      </c>
      <c r="F2648" s="1">
        <v>44460</v>
      </c>
    </row>
    <row r="2649" spans="1:6" x14ac:dyDescent="0.25">
      <c r="A2649">
        <v>6732941</v>
      </c>
      <c r="B2649" t="s">
        <v>2692</v>
      </c>
      <c r="C2649" t="str">
        <f>"9783658342975"</f>
        <v>9783658342975</v>
      </c>
      <c r="D2649" t="str">
        <f>"9783658342982"</f>
        <v>9783658342982</v>
      </c>
      <c r="E2649" t="s">
        <v>1391</v>
      </c>
      <c r="F2649" s="1">
        <v>44461</v>
      </c>
    </row>
    <row r="2650" spans="1:6" x14ac:dyDescent="0.25">
      <c r="A2650">
        <v>6732942</v>
      </c>
      <c r="B2650" t="s">
        <v>2693</v>
      </c>
      <c r="C2650" t="str">
        <f>"9789811659829"</f>
        <v>9789811659829</v>
      </c>
      <c r="D2650" t="str">
        <f>"9789811659836"</f>
        <v>9789811659836</v>
      </c>
      <c r="E2650" t="s">
        <v>1177</v>
      </c>
      <c r="F2650" s="1">
        <v>44461</v>
      </c>
    </row>
    <row r="2651" spans="1:6" x14ac:dyDescent="0.25">
      <c r="A2651">
        <v>6732943</v>
      </c>
      <c r="B2651" t="s">
        <v>2694</v>
      </c>
      <c r="C2651" t="str">
        <f>"9783658332884"</f>
        <v>9783658332884</v>
      </c>
      <c r="D2651" t="str">
        <f>"9783658332891"</f>
        <v>9783658332891</v>
      </c>
      <c r="E2651" t="s">
        <v>1391</v>
      </c>
      <c r="F2651" s="1">
        <v>44461</v>
      </c>
    </row>
    <row r="2652" spans="1:6" x14ac:dyDescent="0.25">
      <c r="A2652">
        <v>6733486</v>
      </c>
      <c r="B2652" t="s">
        <v>2695</v>
      </c>
      <c r="C2652" t="str">
        <f>"9783030721916"</f>
        <v>9783030721916</v>
      </c>
      <c r="D2652" t="str">
        <f>"9783030721923"</f>
        <v>9783030721923</v>
      </c>
      <c r="E2652" t="s">
        <v>756</v>
      </c>
      <c r="F2652" s="1">
        <v>44462</v>
      </c>
    </row>
    <row r="2653" spans="1:6" x14ac:dyDescent="0.25">
      <c r="A2653">
        <v>6733487</v>
      </c>
      <c r="B2653" t="s">
        <v>2696</v>
      </c>
      <c r="C2653" t="str">
        <f>"9783658354114"</f>
        <v>9783658354114</v>
      </c>
      <c r="D2653" t="str">
        <f>"9783658354121"</f>
        <v>9783658354121</v>
      </c>
      <c r="E2653" t="s">
        <v>1391</v>
      </c>
      <c r="F2653" s="1">
        <v>44462</v>
      </c>
    </row>
    <row r="2654" spans="1:6" x14ac:dyDescent="0.25">
      <c r="A2654">
        <v>6733953</v>
      </c>
      <c r="B2654" t="s">
        <v>2697</v>
      </c>
      <c r="C2654" t="str">
        <f>""</f>
        <v/>
      </c>
      <c r="D2654" t="str">
        <f>"9782759232499"</f>
        <v>9782759232499</v>
      </c>
      <c r="E2654" t="s">
        <v>626</v>
      </c>
      <c r="F2654" s="1">
        <v>44224</v>
      </c>
    </row>
    <row r="2655" spans="1:6" x14ac:dyDescent="0.25">
      <c r="A2655">
        <v>6733957</v>
      </c>
      <c r="B2655" t="s">
        <v>2698</v>
      </c>
      <c r="C2655" t="str">
        <f>""</f>
        <v/>
      </c>
      <c r="D2655" t="str">
        <f>"9782759226818"</f>
        <v>9782759226818</v>
      </c>
      <c r="E2655" t="s">
        <v>626</v>
      </c>
      <c r="F2655" s="1">
        <v>43601</v>
      </c>
    </row>
    <row r="2656" spans="1:6" x14ac:dyDescent="0.25">
      <c r="A2656">
        <v>6733958</v>
      </c>
      <c r="B2656" t="s">
        <v>2699</v>
      </c>
      <c r="C2656" t="str">
        <f>""</f>
        <v/>
      </c>
      <c r="D2656" t="str">
        <f>"9782759232567"</f>
        <v>9782759232567</v>
      </c>
      <c r="E2656" t="s">
        <v>626</v>
      </c>
      <c r="F2656" s="1">
        <v>44154</v>
      </c>
    </row>
    <row r="2657" spans="1:6" x14ac:dyDescent="0.25">
      <c r="A2657">
        <v>6733959</v>
      </c>
      <c r="B2657" t="s">
        <v>2700</v>
      </c>
      <c r="C2657" t="str">
        <f>""</f>
        <v/>
      </c>
      <c r="D2657" t="str">
        <f>"9782759231034"</f>
        <v>9782759231034</v>
      </c>
      <c r="E2657" t="s">
        <v>626</v>
      </c>
      <c r="F2657" s="1">
        <v>43731</v>
      </c>
    </row>
    <row r="2658" spans="1:6" x14ac:dyDescent="0.25">
      <c r="A2658">
        <v>6733962</v>
      </c>
      <c r="B2658" t="s">
        <v>2701</v>
      </c>
      <c r="C2658" t="str">
        <f>""</f>
        <v/>
      </c>
      <c r="D2658" t="str">
        <f>"9782759230594"</f>
        <v>9782759230594</v>
      </c>
      <c r="E2658" t="s">
        <v>626</v>
      </c>
      <c r="F2658" s="1">
        <v>43605</v>
      </c>
    </row>
    <row r="2659" spans="1:6" x14ac:dyDescent="0.25">
      <c r="A2659">
        <v>6733963</v>
      </c>
      <c r="B2659" t="s">
        <v>2702</v>
      </c>
      <c r="C2659" t="str">
        <f>""</f>
        <v/>
      </c>
      <c r="D2659" t="str">
        <f>"9782759231867"</f>
        <v>9782759231867</v>
      </c>
      <c r="E2659" t="s">
        <v>626</v>
      </c>
      <c r="F2659" s="1">
        <v>44092</v>
      </c>
    </row>
    <row r="2660" spans="1:6" x14ac:dyDescent="0.25">
      <c r="A2660">
        <v>6733965</v>
      </c>
      <c r="B2660" t="s">
        <v>2703</v>
      </c>
      <c r="C2660" t="str">
        <f>""</f>
        <v/>
      </c>
      <c r="D2660" t="str">
        <f>"9782759231461"</f>
        <v>9782759231461</v>
      </c>
      <c r="E2660" t="s">
        <v>626</v>
      </c>
      <c r="F2660" s="1">
        <v>43812</v>
      </c>
    </row>
    <row r="2661" spans="1:6" x14ac:dyDescent="0.25">
      <c r="A2661">
        <v>6733966</v>
      </c>
      <c r="B2661" t="s">
        <v>2704</v>
      </c>
      <c r="C2661" t="str">
        <f>""</f>
        <v/>
      </c>
      <c r="D2661" t="str">
        <f>"9782759231591"</f>
        <v>9782759231591</v>
      </c>
      <c r="E2661" t="s">
        <v>626</v>
      </c>
      <c r="F2661" s="1">
        <v>44092</v>
      </c>
    </row>
    <row r="2662" spans="1:6" x14ac:dyDescent="0.25">
      <c r="A2662">
        <v>6733969</v>
      </c>
      <c r="B2662" t="s">
        <v>2705</v>
      </c>
      <c r="C2662" t="str">
        <f>""</f>
        <v/>
      </c>
      <c r="D2662" t="str">
        <f>"9782759231256"</f>
        <v>9782759231256</v>
      </c>
      <c r="E2662" t="s">
        <v>626</v>
      </c>
      <c r="F2662" s="1">
        <v>44007</v>
      </c>
    </row>
    <row r="2663" spans="1:6" x14ac:dyDescent="0.25">
      <c r="A2663">
        <v>6733970</v>
      </c>
      <c r="B2663" t="s">
        <v>2706</v>
      </c>
      <c r="C2663" t="str">
        <f>""</f>
        <v/>
      </c>
      <c r="D2663" t="str">
        <f>"9782759232376"</f>
        <v>9782759232376</v>
      </c>
      <c r="E2663" t="s">
        <v>626</v>
      </c>
      <c r="F2663" s="1">
        <v>44013</v>
      </c>
    </row>
    <row r="2664" spans="1:6" x14ac:dyDescent="0.25">
      <c r="A2664">
        <v>6733971</v>
      </c>
      <c r="B2664" t="s">
        <v>2707</v>
      </c>
      <c r="C2664" t="str">
        <f>""</f>
        <v/>
      </c>
      <c r="D2664" t="str">
        <f>"9791097143022"</f>
        <v>9791097143022</v>
      </c>
      <c r="E2664" t="s">
        <v>626</v>
      </c>
      <c r="F2664" s="1">
        <v>43152</v>
      </c>
    </row>
    <row r="2665" spans="1:6" x14ac:dyDescent="0.25">
      <c r="A2665">
        <v>6733972</v>
      </c>
      <c r="B2665" t="s">
        <v>2708</v>
      </c>
      <c r="C2665" t="str">
        <f>""</f>
        <v/>
      </c>
      <c r="D2665" t="str">
        <f>"9782759231737"</f>
        <v>9782759231737</v>
      </c>
      <c r="E2665" t="s">
        <v>626</v>
      </c>
      <c r="F2665" s="1">
        <v>44007</v>
      </c>
    </row>
    <row r="2666" spans="1:6" x14ac:dyDescent="0.25">
      <c r="A2666">
        <v>6733974</v>
      </c>
      <c r="B2666" t="s">
        <v>2709</v>
      </c>
      <c r="C2666" t="str">
        <f>""</f>
        <v/>
      </c>
      <c r="D2666" t="str">
        <f>"9782759230976"</f>
        <v>9782759230976</v>
      </c>
      <c r="E2666" t="s">
        <v>626</v>
      </c>
      <c r="F2666" s="1">
        <v>44015</v>
      </c>
    </row>
    <row r="2667" spans="1:6" x14ac:dyDescent="0.25">
      <c r="A2667">
        <v>6733978</v>
      </c>
      <c r="B2667" t="s">
        <v>2710</v>
      </c>
      <c r="C2667" t="str">
        <f>""</f>
        <v/>
      </c>
      <c r="D2667" t="str">
        <f>"9782759221585"</f>
        <v>9782759221585</v>
      </c>
      <c r="E2667" t="s">
        <v>626</v>
      </c>
      <c r="F2667" s="1">
        <v>41718</v>
      </c>
    </row>
    <row r="2668" spans="1:6" x14ac:dyDescent="0.25">
      <c r="A2668">
        <v>6733981</v>
      </c>
      <c r="B2668" t="s">
        <v>2711</v>
      </c>
      <c r="C2668" t="str">
        <f>"9782759231294"</f>
        <v>9782759231294</v>
      </c>
      <c r="D2668" t="str">
        <f>"9782759231300"</f>
        <v>9782759231300</v>
      </c>
      <c r="E2668" t="s">
        <v>626</v>
      </c>
      <c r="F2668" s="1">
        <v>43853</v>
      </c>
    </row>
    <row r="2669" spans="1:6" x14ac:dyDescent="0.25">
      <c r="A2669">
        <v>6733984</v>
      </c>
      <c r="B2669" t="s">
        <v>2712</v>
      </c>
      <c r="C2669" t="str">
        <f>""</f>
        <v/>
      </c>
      <c r="D2669" t="str">
        <f>"9782759223367"</f>
        <v>9782759223367</v>
      </c>
      <c r="E2669" t="s">
        <v>626</v>
      </c>
      <c r="F2669" s="1">
        <v>42194</v>
      </c>
    </row>
    <row r="2670" spans="1:6" x14ac:dyDescent="0.25">
      <c r="A2670">
        <v>6733994</v>
      </c>
      <c r="B2670" t="s">
        <v>2713</v>
      </c>
      <c r="C2670" t="str">
        <f>""</f>
        <v/>
      </c>
      <c r="D2670" t="str">
        <f>"9782759207145"</f>
        <v>9782759207145</v>
      </c>
      <c r="E2670" t="s">
        <v>626</v>
      </c>
      <c r="F2670" s="1">
        <v>35916</v>
      </c>
    </row>
    <row r="2671" spans="1:6" x14ac:dyDescent="0.25">
      <c r="A2671">
        <v>6733996</v>
      </c>
      <c r="B2671" t="s">
        <v>2714</v>
      </c>
      <c r="C2671" t="str">
        <f>""</f>
        <v/>
      </c>
      <c r="D2671" t="str">
        <f>"9782759231546"</f>
        <v>9782759231546</v>
      </c>
      <c r="E2671" t="s">
        <v>626</v>
      </c>
      <c r="F2671" s="1">
        <v>43888</v>
      </c>
    </row>
    <row r="2672" spans="1:6" x14ac:dyDescent="0.25">
      <c r="A2672">
        <v>6733997</v>
      </c>
      <c r="B2672" t="s">
        <v>2715</v>
      </c>
      <c r="C2672" t="str">
        <f>""</f>
        <v/>
      </c>
      <c r="D2672" t="str">
        <f>"9782759227846"</f>
        <v>9782759227846</v>
      </c>
      <c r="E2672" t="s">
        <v>626</v>
      </c>
      <c r="F2672" s="1">
        <v>43817</v>
      </c>
    </row>
    <row r="2673" spans="1:6" x14ac:dyDescent="0.25">
      <c r="A2673">
        <v>6733999</v>
      </c>
      <c r="B2673" t="s">
        <v>2716</v>
      </c>
      <c r="C2673" t="str">
        <f>""</f>
        <v/>
      </c>
      <c r="D2673" t="str">
        <f>"9782759227099"</f>
        <v>9782759227099</v>
      </c>
      <c r="E2673" t="s">
        <v>626</v>
      </c>
      <c r="F2673" s="1">
        <v>43132</v>
      </c>
    </row>
    <row r="2674" spans="1:6" x14ac:dyDescent="0.25">
      <c r="A2674">
        <v>6734000</v>
      </c>
      <c r="B2674" t="s">
        <v>2717</v>
      </c>
      <c r="C2674" t="str">
        <f>""</f>
        <v/>
      </c>
      <c r="D2674" t="str">
        <f>"9782759232604"</f>
        <v>9782759232604</v>
      </c>
      <c r="E2674" t="s">
        <v>626</v>
      </c>
      <c r="F2674" s="1">
        <v>44109</v>
      </c>
    </row>
    <row r="2675" spans="1:6" x14ac:dyDescent="0.25">
      <c r="A2675">
        <v>6734002</v>
      </c>
      <c r="B2675" t="s">
        <v>2718</v>
      </c>
      <c r="C2675" t="str">
        <f>""</f>
        <v/>
      </c>
      <c r="D2675" t="str">
        <f>"9782759232628"</f>
        <v>9782759232628</v>
      </c>
      <c r="E2675" t="s">
        <v>626</v>
      </c>
      <c r="F2675" s="1">
        <v>44130</v>
      </c>
    </row>
    <row r="2676" spans="1:6" x14ac:dyDescent="0.25">
      <c r="A2676">
        <v>6734004</v>
      </c>
      <c r="B2676" t="s">
        <v>2719</v>
      </c>
      <c r="C2676" t="str">
        <f>""</f>
        <v/>
      </c>
      <c r="D2676" t="str">
        <f>"9782759224937"</f>
        <v>9782759224937</v>
      </c>
      <c r="E2676" t="s">
        <v>626</v>
      </c>
      <c r="F2676" s="1">
        <v>37537</v>
      </c>
    </row>
    <row r="2677" spans="1:6" x14ac:dyDescent="0.25">
      <c r="A2677">
        <v>6734005</v>
      </c>
      <c r="B2677" t="s">
        <v>2720</v>
      </c>
      <c r="C2677" t="str">
        <f>""</f>
        <v/>
      </c>
      <c r="D2677" t="str">
        <f>"9782759229079"</f>
        <v>9782759229079</v>
      </c>
      <c r="E2677" t="s">
        <v>626</v>
      </c>
      <c r="F2677" s="1">
        <v>43434</v>
      </c>
    </row>
    <row r="2678" spans="1:6" x14ac:dyDescent="0.25">
      <c r="A2678">
        <v>6734007</v>
      </c>
      <c r="B2678" t="s">
        <v>2721</v>
      </c>
      <c r="C2678" t="str">
        <f>""</f>
        <v/>
      </c>
      <c r="D2678" t="str">
        <f>"9782759222230"</f>
        <v>9782759222230</v>
      </c>
      <c r="E2678" t="s">
        <v>626</v>
      </c>
      <c r="F2678" s="1">
        <v>41990</v>
      </c>
    </row>
    <row r="2679" spans="1:6" x14ac:dyDescent="0.25">
      <c r="A2679">
        <v>6734008</v>
      </c>
      <c r="B2679" t="s">
        <v>2722</v>
      </c>
      <c r="C2679" t="str">
        <f>""</f>
        <v/>
      </c>
      <c r="D2679" t="str">
        <f>"9782759229062"</f>
        <v>9782759229062</v>
      </c>
      <c r="E2679" t="s">
        <v>626</v>
      </c>
      <c r="F2679" s="1">
        <v>43349</v>
      </c>
    </row>
    <row r="2680" spans="1:6" x14ac:dyDescent="0.25">
      <c r="A2680">
        <v>6734010</v>
      </c>
      <c r="B2680" t="s">
        <v>2723</v>
      </c>
      <c r="C2680" t="str">
        <f>""</f>
        <v/>
      </c>
      <c r="D2680" t="str">
        <f>"9782738014344"</f>
        <v>9782738014344</v>
      </c>
      <c r="E2680" t="s">
        <v>626</v>
      </c>
      <c r="F2680" s="1">
        <v>43796</v>
      </c>
    </row>
    <row r="2681" spans="1:6" x14ac:dyDescent="0.25">
      <c r="A2681">
        <v>6734013</v>
      </c>
      <c r="B2681" t="s">
        <v>2724</v>
      </c>
      <c r="C2681" t="str">
        <f>""</f>
        <v/>
      </c>
      <c r="D2681" t="str">
        <f>"9782759231188"</f>
        <v>9782759231188</v>
      </c>
      <c r="E2681" t="s">
        <v>626</v>
      </c>
      <c r="F2681" s="1">
        <v>43860</v>
      </c>
    </row>
    <row r="2682" spans="1:6" x14ac:dyDescent="0.25">
      <c r="A2682">
        <v>6734014</v>
      </c>
      <c r="B2682" t="s">
        <v>2725</v>
      </c>
      <c r="C2682" t="str">
        <f>""</f>
        <v/>
      </c>
      <c r="D2682" t="str">
        <f>"9782759230914"</f>
        <v>9782759230914</v>
      </c>
      <c r="E2682" t="s">
        <v>626</v>
      </c>
      <c r="F2682" s="1">
        <v>43888</v>
      </c>
    </row>
    <row r="2683" spans="1:6" x14ac:dyDescent="0.25">
      <c r="A2683">
        <v>6734015</v>
      </c>
      <c r="B2683" t="s">
        <v>2726</v>
      </c>
      <c r="C2683" t="str">
        <f>""</f>
        <v/>
      </c>
      <c r="D2683" t="str">
        <f>"9782759230754"</f>
        <v>9782759230754</v>
      </c>
      <c r="E2683" t="s">
        <v>626</v>
      </c>
      <c r="F2683" s="1">
        <v>43731</v>
      </c>
    </row>
    <row r="2684" spans="1:6" x14ac:dyDescent="0.25">
      <c r="A2684">
        <v>6734019</v>
      </c>
      <c r="B2684" t="s">
        <v>2727</v>
      </c>
      <c r="C2684" t="str">
        <f>""</f>
        <v/>
      </c>
      <c r="D2684" t="str">
        <f>"9782759227792"</f>
        <v>9782759227792</v>
      </c>
      <c r="E2684" t="s">
        <v>626</v>
      </c>
      <c r="F2684" s="1">
        <v>43223</v>
      </c>
    </row>
    <row r="2685" spans="1:6" x14ac:dyDescent="0.25">
      <c r="A2685">
        <v>6734022</v>
      </c>
      <c r="B2685" t="s">
        <v>2728</v>
      </c>
      <c r="C2685" t="str">
        <f>""</f>
        <v/>
      </c>
      <c r="D2685" t="str">
        <f>"9782759231218"</f>
        <v>9782759231218</v>
      </c>
      <c r="E2685" t="s">
        <v>626</v>
      </c>
      <c r="F2685" s="1">
        <v>44043</v>
      </c>
    </row>
    <row r="2686" spans="1:6" x14ac:dyDescent="0.25">
      <c r="A2686">
        <v>6734023</v>
      </c>
      <c r="B2686" t="s">
        <v>2729</v>
      </c>
      <c r="C2686" t="str">
        <f>""</f>
        <v/>
      </c>
      <c r="D2686" t="str">
        <f>"9782759225781"</f>
        <v>9782759225781</v>
      </c>
      <c r="E2686" t="s">
        <v>626</v>
      </c>
      <c r="F2686" s="1">
        <v>42971</v>
      </c>
    </row>
    <row r="2687" spans="1:6" x14ac:dyDescent="0.25">
      <c r="A2687">
        <v>6734026</v>
      </c>
      <c r="B2687" t="s">
        <v>2730</v>
      </c>
      <c r="C2687" t="str">
        <f>""</f>
        <v/>
      </c>
      <c r="D2687" t="str">
        <f>"9782759224821"</f>
        <v>9782759224821</v>
      </c>
      <c r="E2687" t="s">
        <v>626</v>
      </c>
      <c r="F2687" s="1">
        <v>43132</v>
      </c>
    </row>
    <row r="2688" spans="1:6" x14ac:dyDescent="0.25">
      <c r="A2688">
        <v>6734029</v>
      </c>
      <c r="B2688" t="s">
        <v>2731</v>
      </c>
      <c r="C2688" t="str">
        <f>""</f>
        <v/>
      </c>
      <c r="D2688" t="str">
        <f>"9782759229222"</f>
        <v>9782759229222</v>
      </c>
      <c r="E2688" t="s">
        <v>626</v>
      </c>
      <c r="F2688" s="1">
        <v>43451</v>
      </c>
    </row>
    <row r="2689" spans="1:6" x14ac:dyDescent="0.25">
      <c r="A2689">
        <v>6734034</v>
      </c>
      <c r="B2689" t="s">
        <v>2732</v>
      </c>
      <c r="C2689" t="str">
        <f>""</f>
        <v/>
      </c>
      <c r="D2689" t="str">
        <f>"9782759230846"</f>
        <v>9782759230846</v>
      </c>
      <c r="E2689" t="s">
        <v>626</v>
      </c>
      <c r="F2689" s="1">
        <v>43769</v>
      </c>
    </row>
    <row r="2690" spans="1:6" x14ac:dyDescent="0.25">
      <c r="A2690">
        <v>6734037</v>
      </c>
      <c r="B2690" t="s">
        <v>2733</v>
      </c>
      <c r="C2690" t="str">
        <f>""</f>
        <v/>
      </c>
      <c r="D2690" t="str">
        <f>"9782759220038"</f>
        <v>9782759220038</v>
      </c>
      <c r="E2690" t="s">
        <v>626</v>
      </c>
      <c r="F2690" s="1">
        <v>41562</v>
      </c>
    </row>
    <row r="2691" spans="1:6" x14ac:dyDescent="0.25">
      <c r="A2691">
        <v>6734043</v>
      </c>
      <c r="B2691" t="s">
        <v>2734</v>
      </c>
      <c r="C2691" t="str">
        <f>"9782759231324"</f>
        <v>9782759231324</v>
      </c>
      <c r="D2691" t="str">
        <f>"9782759231331"</f>
        <v>9782759231331</v>
      </c>
      <c r="E2691" t="s">
        <v>626</v>
      </c>
      <c r="F2691" s="1">
        <v>44013</v>
      </c>
    </row>
    <row r="2692" spans="1:6" x14ac:dyDescent="0.25">
      <c r="A2692">
        <v>6734044</v>
      </c>
      <c r="B2692" t="s">
        <v>2735</v>
      </c>
      <c r="C2692" t="str">
        <f>""</f>
        <v/>
      </c>
      <c r="D2692" t="str">
        <f>"9782759227723"</f>
        <v>9782759227723</v>
      </c>
      <c r="E2692" t="s">
        <v>626</v>
      </c>
      <c r="F2692" s="1">
        <v>43193</v>
      </c>
    </row>
    <row r="2693" spans="1:6" x14ac:dyDescent="0.25">
      <c r="A2693">
        <v>6734046</v>
      </c>
      <c r="B2693" t="s">
        <v>2736</v>
      </c>
      <c r="C2693" t="str">
        <f>""</f>
        <v/>
      </c>
      <c r="D2693" t="str">
        <f>"9782759224944"</f>
        <v>9782759224944</v>
      </c>
      <c r="E2693" t="s">
        <v>626</v>
      </c>
      <c r="F2693" s="1">
        <v>37495</v>
      </c>
    </row>
    <row r="2694" spans="1:6" x14ac:dyDescent="0.25">
      <c r="A2694">
        <v>6734047</v>
      </c>
      <c r="B2694" t="s">
        <v>2737</v>
      </c>
      <c r="C2694" t="str">
        <f>""</f>
        <v/>
      </c>
      <c r="D2694" t="str">
        <f>"9782759227051"</f>
        <v>9782759227051</v>
      </c>
      <c r="E2694" t="s">
        <v>626</v>
      </c>
      <c r="F2694" s="1">
        <v>43647</v>
      </c>
    </row>
    <row r="2695" spans="1:6" x14ac:dyDescent="0.25">
      <c r="A2695">
        <v>6734048</v>
      </c>
      <c r="B2695" t="s">
        <v>2738</v>
      </c>
      <c r="C2695" t="str">
        <f>""</f>
        <v/>
      </c>
      <c r="D2695" t="str">
        <f>"9782759229833"</f>
        <v>9782759229833</v>
      </c>
      <c r="E2695" t="s">
        <v>626</v>
      </c>
      <c r="F2695" s="1">
        <v>43817</v>
      </c>
    </row>
    <row r="2696" spans="1:6" x14ac:dyDescent="0.25">
      <c r="A2696">
        <v>6734054</v>
      </c>
      <c r="B2696" t="s">
        <v>2739</v>
      </c>
      <c r="C2696" t="str">
        <f>""</f>
        <v/>
      </c>
      <c r="D2696" t="str">
        <f>"9782759228355"</f>
        <v>9782759228355</v>
      </c>
      <c r="E2696" t="s">
        <v>626</v>
      </c>
      <c r="F2696" s="1">
        <v>43203</v>
      </c>
    </row>
    <row r="2697" spans="1:6" x14ac:dyDescent="0.25">
      <c r="A2697">
        <v>6734057</v>
      </c>
      <c r="B2697" t="s">
        <v>2740</v>
      </c>
      <c r="C2697" t="str">
        <f>""</f>
        <v/>
      </c>
      <c r="D2697" t="str">
        <f>"9782759232802"</f>
        <v>9782759232802</v>
      </c>
      <c r="E2697" t="s">
        <v>626</v>
      </c>
      <c r="F2697" s="1">
        <v>44168</v>
      </c>
    </row>
    <row r="2698" spans="1:6" x14ac:dyDescent="0.25">
      <c r="A2698">
        <v>6734059</v>
      </c>
      <c r="B2698" t="s">
        <v>2741</v>
      </c>
      <c r="C2698" t="str">
        <f>""</f>
        <v/>
      </c>
      <c r="D2698" t="str">
        <f>"9782759212736"</f>
        <v>9782759212736</v>
      </c>
      <c r="E2698" t="s">
        <v>626</v>
      </c>
      <c r="F2698" s="1">
        <v>39310</v>
      </c>
    </row>
    <row r="2699" spans="1:6" x14ac:dyDescent="0.25">
      <c r="A2699">
        <v>6734065</v>
      </c>
      <c r="B2699" t="s">
        <v>2742</v>
      </c>
      <c r="C2699" t="str">
        <f>""</f>
        <v/>
      </c>
      <c r="D2699" t="str">
        <f>"9782759232758"</f>
        <v>9782759232758</v>
      </c>
      <c r="E2699" t="s">
        <v>626</v>
      </c>
      <c r="F2699" s="1">
        <v>44464</v>
      </c>
    </row>
    <row r="2700" spans="1:6" x14ac:dyDescent="0.25">
      <c r="A2700">
        <v>6734066</v>
      </c>
      <c r="B2700" t="s">
        <v>2743</v>
      </c>
      <c r="C2700" t="str">
        <f>""</f>
        <v/>
      </c>
      <c r="D2700" t="str">
        <f>"9782759230945"</f>
        <v>9782759230945</v>
      </c>
      <c r="E2700" t="s">
        <v>626</v>
      </c>
      <c r="F2700" s="1">
        <v>43860</v>
      </c>
    </row>
    <row r="2701" spans="1:6" x14ac:dyDescent="0.25">
      <c r="A2701">
        <v>6734070</v>
      </c>
      <c r="B2701" t="s">
        <v>2744</v>
      </c>
      <c r="C2701" t="str">
        <f>""</f>
        <v/>
      </c>
      <c r="D2701" t="str">
        <f>"9782759228959"</f>
        <v>9782759228959</v>
      </c>
      <c r="E2701" t="s">
        <v>626</v>
      </c>
      <c r="F2701" s="1">
        <v>43755</v>
      </c>
    </row>
    <row r="2702" spans="1:6" x14ac:dyDescent="0.25">
      <c r="A2702">
        <v>6734072</v>
      </c>
      <c r="B2702" t="s">
        <v>2745</v>
      </c>
      <c r="C2702" t="str">
        <f>""</f>
        <v/>
      </c>
      <c r="D2702" t="str">
        <f>"9782759231560"</f>
        <v>9782759231560</v>
      </c>
      <c r="E2702" t="s">
        <v>626</v>
      </c>
      <c r="F2702" s="1">
        <v>43804</v>
      </c>
    </row>
    <row r="2703" spans="1:6" x14ac:dyDescent="0.25">
      <c r="A2703">
        <v>6734073</v>
      </c>
      <c r="B2703" t="s">
        <v>2746</v>
      </c>
      <c r="C2703" t="str">
        <f>""</f>
        <v/>
      </c>
      <c r="D2703" t="str">
        <f>"9782759231683"</f>
        <v>9782759231683</v>
      </c>
      <c r="E2703" t="s">
        <v>626</v>
      </c>
      <c r="F2703" s="1">
        <v>43983</v>
      </c>
    </row>
    <row r="2704" spans="1:6" x14ac:dyDescent="0.25">
      <c r="A2704">
        <v>6734076</v>
      </c>
      <c r="B2704" t="s">
        <v>2747</v>
      </c>
      <c r="C2704" t="str">
        <f>""</f>
        <v/>
      </c>
      <c r="D2704" t="str">
        <f>"9782759232994"</f>
        <v>9782759232994</v>
      </c>
      <c r="E2704" t="s">
        <v>626</v>
      </c>
      <c r="F2704" s="1">
        <v>38513</v>
      </c>
    </row>
    <row r="2705" spans="1:6" x14ac:dyDescent="0.25">
      <c r="A2705">
        <v>6734079</v>
      </c>
      <c r="B2705" t="s">
        <v>2748</v>
      </c>
      <c r="C2705" t="str">
        <f>""</f>
        <v/>
      </c>
      <c r="D2705" t="str">
        <f>"9782759232710"</f>
        <v>9782759232710</v>
      </c>
      <c r="E2705" t="s">
        <v>626</v>
      </c>
      <c r="F2705" s="1">
        <v>44238</v>
      </c>
    </row>
    <row r="2706" spans="1:6" x14ac:dyDescent="0.25">
      <c r="A2706">
        <v>6734081</v>
      </c>
      <c r="B2706" t="s">
        <v>2749</v>
      </c>
      <c r="C2706" t="str">
        <f>""</f>
        <v/>
      </c>
      <c r="D2706" t="str">
        <f>"9782759233229"</f>
        <v>9782759233229</v>
      </c>
      <c r="E2706" t="s">
        <v>626</v>
      </c>
      <c r="F2706" s="1">
        <v>25900</v>
      </c>
    </row>
    <row r="2707" spans="1:6" x14ac:dyDescent="0.25">
      <c r="A2707">
        <v>6734087</v>
      </c>
      <c r="B2707" t="s">
        <v>2750</v>
      </c>
      <c r="C2707" t="str">
        <f>""</f>
        <v/>
      </c>
      <c r="D2707" t="str">
        <f>"9782759223459"</f>
        <v>9782759223459</v>
      </c>
      <c r="E2707" t="s">
        <v>626</v>
      </c>
      <c r="F2707" s="1">
        <v>42150</v>
      </c>
    </row>
    <row r="2708" spans="1:6" x14ac:dyDescent="0.25">
      <c r="A2708">
        <v>6734088</v>
      </c>
      <c r="B2708" t="s">
        <v>2751</v>
      </c>
      <c r="C2708" t="str">
        <f>""</f>
        <v/>
      </c>
      <c r="D2708" t="str">
        <f>"9782759232543"</f>
        <v>9782759232543</v>
      </c>
      <c r="E2708" t="s">
        <v>626</v>
      </c>
      <c r="F2708" s="1">
        <v>43978</v>
      </c>
    </row>
    <row r="2709" spans="1:6" x14ac:dyDescent="0.25">
      <c r="A2709">
        <v>6734099</v>
      </c>
      <c r="B2709" t="s">
        <v>2752</v>
      </c>
      <c r="C2709" t="str">
        <f>""</f>
        <v/>
      </c>
      <c r="D2709" t="str">
        <f>"9782759229604"</f>
        <v>9782759229604</v>
      </c>
      <c r="E2709" t="s">
        <v>626</v>
      </c>
      <c r="F2709" s="1">
        <v>43423</v>
      </c>
    </row>
    <row r="2710" spans="1:6" x14ac:dyDescent="0.25">
      <c r="A2710">
        <v>6734100</v>
      </c>
      <c r="B2710" t="s">
        <v>2753</v>
      </c>
      <c r="C2710" t="str">
        <f>""</f>
        <v/>
      </c>
      <c r="D2710" t="str">
        <f>"9782759208838"</f>
        <v>9782759208838</v>
      </c>
      <c r="E2710" t="s">
        <v>626</v>
      </c>
      <c r="F2710" s="1">
        <v>36161</v>
      </c>
    </row>
    <row r="2711" spans="1:6" x14ac:dyDescent="0.25">
      <c r="A2711">
        <v>6734220</v>
      </c>
      <c r="B2711" t="s">
        <v>2754</v>
      </c>
      <c r="C2711" t="str">
        <f>""</f>
        <v/>
      </c>
      <c r="D2711" t="str">
        <f>"9782759231775"</f>
        <v>9782759231775</v>
      </c>
      <c r="E2711" t="s">
        <v>626</v>
      </c>
      <c r="F2711" s="1">
        <v>44490</v>
      </c>
    </row>
    <row r="2712" spans="1:6" x14ac:dyDescent="0.25">
      <c r="A2712">
        <v>6734292</v>
      </c>
      <c r="B2712" t="s">
        <v>2755</v>
      </c>
      <c r="C2712" t="str">
        <f>"9788394426293"</f>
        <v>9788394426293</v>
      </c>
      <c r="D2712" t="str">
        <f>"9788394914912"</f>
        <v>9788394914912</v>
      </c>
      <c r="E2712" t="s">
        <v>514</v>
      </c>
      <c r="F2712" s="1">
        <v>43312</v>
      </c>
    </row>
    <row r="2713" spans="1:6" x14ac:dyDescent="0.25">
      <c r="A2713">
        <v>6734438</v>
      </c>
      <c r="B2713" t="s">
        <v>2756</v>
      </c>
      <c r="C2713" t="str">
        <f>"9783030822071"</f>
        <v>9783030822071</v>
      </c>
      <c r="D2713" t="str">
        <f>"9783030822088"</f>
        <v>9783030822088</v>
      </c>
      <c r="E2713" t="s">
        <v>756</v>
      </c>
      <c r="F2713" s="1">
        <v>44466</v>
      </c>
    </row>
    <row r="2714" spans="1:6" x14ac:dyDescent="0.25">
      <c r="A2714">
        <v>6734874</v>
      </c>
      <c r="B2714" t="s">
        <v>2757</v>
      </c>
      <c r="C2714" t="str">
        <f>"9781789622324"</f>
        <v>9781789622324</v>
      </c>
      <c r="D2714" t="str">
        <f>"9781789622577"</f>
        <v>9781789622577</v>
      </c>
      <c r="E2714" t="s">
        <v>1287</v>
      </c>
      <c r="F2714" s="1">
        <v>44135</v>
      </c>
    </row>
    <row r="2715" spans="1:6" x14ac:dyDescent="0.25">
      <c r="A2715">
        <v>6734877</v>
      </c>
      <c r="B2715" t="s">
        <v>2758</v>
      </c>
      <c r="C2715" t="str">
        <f>"9781789621082"</f>
        <v>9781789621082</v>
      </c>
      <c r="D2715" t="str">
        <f>"9781789627404"</f>
        <v>9781789627404</v>
      </c>
      <c r="E2715" t="s">
        <v>1287</v>
      </c>
      <c r="F2715" s="1">
        <v>44047</v>
      </c>
    </row>
    <row r="2716" spans="1:6" x14ac:dyDescent="0.25">
      <c r="A2716">
        <v>6734878</v>
      </c>
      <c r="B2716" t="s">
        <v>2759</v>
      </c>
      <c r="C2716" t="str">
        <f>"9781800859517"</f>
        <v>9781800859517</v>
      </c>
      <c r="D2716" t="str">
        <f>"9781800858626"</f>
        <v>9781800858626</v>
      </c>
      <c r="E2716" t="s">
        <v>1287</v>
      </c>
      <c r="F2716" s="1">
        <v>44315</v>
      </c>
    </row>
    <row r="2717" spans="1:6" x14ac:dyDescent="0.25">
      <c r="A2717">
        <v>6734879</v>
      </c>
      <c r="B2717" t="s">
        <v>2760</v>
      </c>
      <c r="C2717" t="str">
        <f>"9781789622249"</f>
        <v>9781789622249</v>
      </c>
      <c r="D2717" t="str">
        <f>"9781789622584"</f>
        <v>9781789622584</v>
      </c>
      <c r="E2717" t="s">
        <v>1287</v>
      </c>
      <c r="F2717" s="1">
        <v>44077</v>
      </c>
    </row>
    <row r="2718" spans="1:6" x14ac:dyDescent="0.25">
      <c r="A2718">
        <v>6735989</v>
      </c>
      <c r="B2718" t="s">
        <v>2761</v>
      </c>
      <c r="C2718" t="str">
        <f>"9783030757960"</f>
        <v>9783030757960</v>
      </c>
      <c r="D2718" t="str">
        <f>"9783030757977"</f>
        <v>9783030757977</v>
      </c>
      <c r="E2718" t="s">
        <v>756</v>
      </c>
      <c r="F2718" s="1">
        <v>44467</v>
      </c>
    </row>
    <row r="2719" spans="1:6" x14ac:dyDescent="0.25">
      <c r="A2719">
        <v>6736371</v>
      </c>
      <c r="B2719" t="s">
        <v>2762</v>
      </c>
      <c r="C2719" t="str">
        <f>"9783030778378"</f>
        <v>9783030778378</v>
      </c>
      <c r="D2719" t="str">
        <f>"9783030778385"</f>
        <v>9783030778385</v>
      </c>
      <c r="E2719" t="s">
        <v>756</v>
      </c>
      <c r="F2719" s="1">
        <v>44468</v>
      </c>
    </row>
    <row r="2720" spans="1:6" x14ac:dyDescent="0.25">
      <c r="A2720">
        <v>6736742</v>
      </c>
      <c r="B2720" t="s">
        <v>2763</v>
      </c>
      <c r="C2720" t="str">
        <f>"9781800642614"</f>
        <v>9781800642614</v>
      </c>
      <c r="D2720" t="str">
        <f>"9781800642621"</f>
        <v>9781800642621</v>
      </c>
      <c r="E2720" t="s">
        <v>580</v>
      </c>
      <c r="F2720" s="1">
        <v>44467</v>
      </c>
    </row>
    <row r="2721" spans="1:6" x14ac:dyDescent="0.25">
      <c r="A2721">
        <v>6736833</v>
      </c>
      <c r="B2721" t="s">
        <v>2764</v>
      </c>
      <c r="C2721" t="str">
        <f>"9789811653902"</f>
        <v>9789811653902</v>
      </c>
      <c r="D2721" t="str">
        <f>"9789811653919"</f>
        <v>9789811653919</v>
      </c>
      <c r="E2721" t="s">
        <v>1177</v>
      </c>
      <c r="F2721" s="1">
        <v>44468</v>
      </c>
    </row>
    <row r="2722" spans="1:6" x14ac:dyDescent="0.25">
      <c r="A2722">
        <v>6737898</v>
      </c>
      <c r="B2722" t="s">
        <v>2765</v>
      </c>
      <c r="C2722" t="str">
        <f>"9782759232840"</f>
        <v>9782759232840</v>
      </c>
      <c r="D2722" t="str">
        <f>"9782759232864"</f>
        <v>9782759232864</v>
      </c>
      <c r="E2722" t="s">
        <v>626</v>
      </c>
      <c r="F2722" s="1">
        <v>44470</v>
      </c>
    </row>
    <row r="2723" spans="1:6" x14ac:dyDescent="0.25">
      <c r="A2723">
        <v>6737997</v>
      </c>
      <c r="B2723" t="s">
        <v>2766</v>
      </c>
      <c r="C2723" t="str">
        <f>"9789811640667"</f>
        <v>9789811640667</v>
      </c>
      <c r="D2723" t="str">
        <f>"9789811640674"</f>
        <v>9789811640674</v>
      </c>
      <c r="E2723" t="s">
        <v>1177</v>
      </c>
      <c r="F2723" s="1">
        <v>44469</v>
      </c>
    </row>
    <row r="2724" spans="1:6" x14ac:dyDescent="0.25">
      <c r="A2724">
        <v>6738886</v>
      </c>
      <c r="B2724" t="s">
        <v>2767</v>
      </c>
      <c r="C2724" t="str">
        <f>"9783030788841"</f>
        <v>9783030788841</v>
      </c>
      <c r="D2724" t="str">
        <f>"9783030788858"</f>
        <v>9783030788858</v>
      </c>
      <c r="E2724" t="s">
        <v>756</v>
      </c>
      <c r="F2724" s="1">
        <v>44470</v>
      </c>
    </row>
    <row r="2725" spans="1:6" x14ac:dyDescent="0.25">
      <c r="A2725">
        <v>6738887</v>
      </c>
      <c r="B2725" t="s">
        <v>2768</v>
      </c>
      <c r="C2725" t="str">
        <f>"9783030768362"</f>
        <v>9783030768362</v>
      </c>
      <c r="D2725" t="str">
        <f>"9783030768379"</f>
        <v>9783030768379</v>
      </c>
      <c r="E2725" t="s">
        <v>756</v>
      </c>
      <c r="F2725" s="1">
        <v>44470</v>
      </c>
    </row>
    <row r="2726" spans="1:6" x14ac:dyDescent="0.25">
      <c r="A2726">
        <v>6739189</v>
      </c>
      <c r="B2726" t="s">
        <v>2769</v>
      </c>
      <c r="C2726" t="str">
        <f>"9783030839437"</f>
        <v>9783030839437</v>
      </c>
      <c r="D2726" t="str">
        <f>"9783030839444"</f>
        <v>9783030839444</v>
      </c>
      <c r="E2726" t="s">
        <v>756</v>
      </c>
      <c r="F2726" s="1">
        <v>44471</v>
      </c>
    </row>
    <row r="2727" spans="1:6" x14ac:dyDescent="0.25">
      <c r="A2727">
        <v>6739190</v>
      </c>
      <c r="B2727" t="s">
        <v>2770</v>
      </c>
      <c r="C2727" t="str">
        <f>"9783030802332"</f>
        <v>9783030802332</v>
      </c>
      <c r="D2727" t="str">
        <f>"9783030802349"</f>
        <v>9783030802349</v>
      </c>
      <c r="E2727" t="s">
        <v>756</v>
      </c>
      <c r="F2727" s="1">
        <v>44471</v>
      </c>
    </row>
    <row r="2728" spans="1:6" x14ac:dyDescent="0.25">
      <c r="A2728">
        <v>6739191</v>
      </c>
      <c r="B2728" t="s">
        <v>2771</v>
      </c>
      <c r="C2728" t="str">
        <f>"9783030744427"</f>
        <v>9783030744427</v>
      </c>
      <c r="D2728" t="str">
        <f>"9783030744434"</f>
        <v>9783030744434</v>
      </c>
      <c r="E2728" t="s">
        <v>756</v>
      </c>
      <c r="F2728" s="1">
        <v>44474</v>
      </c>
    </row>
    <row r="2729" spans="1:6" x14ac:dyDescent="0.25">
      <c r="A2729">
        <v>6739213</v>
      </c>
      <c r="B2729" t="s">
        <v>2772</v>
      </c>
      <c r="C2729" t="str">
        <f>""</f>
        <v/>
      </c>
      <c r="D2729" t="str">
        <f>"9789179296391"</f>
        <v>9789179296391</v>
      </c>
      <c r="E2729" t="s">
        <v>1268</v>
      </c>
      <c r="F2729" s="1">
        <v>44466</v>
      </c>
    </row>
    <row r="2730" spans="1:6" x14ac:dyDescent="0.25">
      <c r="A2730">
        <v>6739214</v>
      </c>
      <c r="B2730" t="s">
        <v>2773</v>
      </c>
      <c r="C2730" t="str">
        <f>""</f>
        <v/>
      </c>
      <c r="D2730" t="str">
        <f>"9789179290399"</f>
        <v>9789179290399</v>
      </c>
      <c r="E2730" t="s">
        <v>1268</v>
      </c>
      <c r="F2730" s="1">
        <v>44460</v>
      </c>
    </row>
    <row r="2731" spans="1:6" x14ac:dyDescent="0.25">
      <c r="A2731">
        <v>6739215</v>
      </c>
      <c r="B2731" t="s">
        <v>2774</v>
      </c>
      <c r="C2731" t="str">
        <f>""</f>
        <v/>
      </c>
      <c r="D2731" t="str">
        <f>"9789179290085"</f>
        <v>9789179290085</v>
      </c>
      <c r="E2731" t="s">
        <v>1268</v>
      </c>
      <c r="F2731" s="1">
        <v>44438</v>
      </c>
    </row>
    <row r="2732" spans="1:6" x14ac:dyDescent="0.25">
      <c r="A2732">
        <v>6739216</v>
      </c>
      <c r="B2732" t="s">
        <v>2775</v>
      </c>
      <c r="C2732" t="str">
        <f>""</f>
        <v/>
      </c>
      <c r="D2732" t="str">
        <f>"9789179296551"</f>
        <v>9789179296551</v>
      </c>
      <c r="E2732" t="s">
        <v>1268</v>
      </c>
      <c r="F2732" s="1">
        <v>44459</v>
      </c>
    </row>
    <row r="2733" spans="1:6" x14ac:dyDescent="0.25">
      <c r="A2733">
        <v>6739217</v>
      </c>
      <c r="B2733" t="s">
        <v>2776</v>
      </c>
      <c r="C2733" t="str">
        <f>""</f>
        <v/>
      </c>
      <c r="D2733" t="str">
        <f>"9789179290078"</f>
        <v>9789179290078</v>
      </c>
      <c r="E2733" t="s">
        <v>1268</v>
      </c>
      <c r="F2733" s="1">
        <v>44461</v>
      </c>
    </row>
    <row r="2734" spans="1:6" x14ac:dyDescent="0.25">
      <c r="A2734">
        <v>6739219</v>
      </c>
      <c r="B2734" t="s">
        <v>2777</v>
      </c>
      <c r="C2734" t="str">
        <f>""</f>
        <v/>
      </c>
      <c r="D2734" t="str">
        <f>"9789179290054"</f>
        <v>9789179290054</v>
      </c>
      <c r="E2734" t="s">
        <v>1268</v>
      </c>
      <c r="F2734" s="1">
        <v>44469</v>
      </c>
    </row>
    <row r="2735" spans="1:6" x14ac:dyDescent="0.25">
      <c r="A2735">
        <v>6741290</v>
      </c>
      <c r="B2735" t="s">
        <v>2778</v>
      </c>
      <c r="C2735" t="str">
        <f>"9783658339807"</f>
        <v>9783658339807</v>
      </c>
      <c r="D2735" t="str">
        <f>"9783658339814"</f>
        <v>9783658339814</v>
      </c>
      <c r="E2735" t="s">
        <v>1391</v>
      </c>
      <c r="F2735" s="1">
        <v>44453</v>
      </c>
    </row>
    <row r="2736" spans="1:6" x14ac:dyDescent="0.25">
      <c r="A2736">
        <v>6743494</v>
      </c>
      <c r="B2736" t="s">
        <v>2779</v>
      </c>
      <c r="C2736" t="str">
        <f>"9780939512065"</f>
        <v>9780939512065</v>
      </c>
      <c r="D2736" t="str">
        <f>"9780472901982"</f>
        <v>9780472901982</v>
      </c>
      <c r="E2736" t="s">
        <v>2255</v>
      </c>
      <c r="F2736" s="1">
        <v>29952</v>
      </c>
    </row>
    <row r="2737" spans="1:6" x14ac:dyDescent="0.25">
      <c r="A2737">
        <v>6743511</v>
      </c>
      <c r="B2737" t="s">
        <v>2780</v>
      </c>
      <c r="C2737" t="str">
        <f>"9780939512287"</f>
        <v>9780939512287</v>
      </c>
      <c r="D2737" t="str">
        <f>"9780472902057"</f>
        <v>9780472902057</v>
      </c>
      <c r="E2737" t="s">
        <v>2255</v>
      </c>
      <c r="F2737" s="1">
        <v>30682</v>
      </c>
    </row>
    <row r="2738" spans="1:6" x14ac:dyDescent="0.25">
      <c r="A2738">
        <v>6743520</v>
      </c>
      <c r="B2738" t="s">
        <v>2781</v>
      </c>
      <c r="C2738" t="str">
        <f>"9783030788926"</f>
        <v>9783030788926</v>
      </c>
      <c r="D2738" t="str">
        <f>"9783030788933"</f>
        <v>9783030788933</v>
      </c>
      <c r="E2738" t="s">
        <v>756</v>
      </c>
      <c r="F2738" s="1">
        <v>44474</v>
      </c>
    </row>
    <row r="2739" spans="1:6" x14ac:dyDescent="0.25">
      <c r="A2739">
        <v>6743521</v>
      </c>
      <c r="B2739" t="s">
        <v>2782</v>
      </c>
      <c r="C2739" t="str">
        <f>"9783030797386"</f>
        <v>9783030797386</v>
      </c>
      <c r="D2739" t="str">
        <f>"9783030797393"</f>
        <v>9783030797393</v>
      </c>
      <c r="E2739" t="s">
        <v>756</v>
      </c>
      <c r="F2739" s="1">
        <v>44474</v>
      </c>
    </row>
    <row r="2740" spans="1:6" x14ac:dyDescent="0.25">
      <c r="A2740">
        <v>6743522</v>
      </c>
      <c r="B2740" t="s">
        <v>2783</v>
      </c>
      <c r="C2740" t="str">
        <f>"9783030821586"</f>
        <v>9783030821586</v>
      </c>
      <c r="D2740" t="str">
        <f>"9783030821593"</f>
        <v>9783030821593</v>
      </c>
      <c r="E2740" t="s">
        <v>756</v>
      </c>
      <c r="F2740" s="1">
        <v>44474</v>
      </c>
    </row>
    <row r="2741" spans="1:6" x14ac:dyDescent="0.25">
      <c r="A2741">
        <v>6743523</v>
      </c>
      <c r="B2741" t="s">
        <v>2784</v>
      </c>
      <c r="C2741" t="str">
        <f>"9783658314651"</f>
        <v>9783658314651</v>
      </c>
      <c r="D2741" t="str">
        <f>"9783658314668"</f>
        <v>9783658314668</v>
      </c>
      <c r="E2741" t="s">
        <v>1391</v>
      </c>
      <c r="F2741" s="1">
        <v>44474</v>
      </c>
    </row>
    <row r="2742" spans="1:6" x14ac:dyDescent="0.25">
      <c r="A2742">
        <v>6745245</v>
      </c>
      <c r="B2742" t="s">
        <v>2785</v>
      </c>
      <c r="C2742" t="str">
        <f>""</f>
        <v/>
      </c>
      <c r="D2742" t="str">
        <f>"9782759233083"</f>
        <v>9782759233083</v>
      </c>
      <c r="E2742" t="s">
        <v>626</v>
      </c>
      <c r="F2742" s="1">
        <v>44476</v>
      </c>
    </row>
    <row r="2743" spans="1:6" x14ac:dyDescent="0.25">
      <c r="A2743">
        <v>6745788</v>
      </c>
      <c r="B2743" t="s">
        <v>2786</v>
      </c>
      <c r="C2743" t="str">
        <f>"9789811640780"</f>
        <v>9789811640780</v>
      </c>
      <c r="D2743" t="str">
        <f>"9789811640797"</f>
        <v>9789811640797</v>
      </c>
      <c r="E2743" t="s">
        <v>1177</v>
      </c>
      <c r="F2743" s="1">
        <v>44475</v>
      </c>
    </row>
    <row r="2744" spans="1:6" x14ac:dyDescent="0.25">
      <c r="A2744">
        <v>6747568</v>
      </c>
      <c r="B2744" t="s">
        <v>2787</v>
      </c>
      <c r="C2744" t="str">
        <f>"9783662641392"</f>
        <v>9783662641392</v>
      </c>
      <c r="D2744" t="str">
        <f>"9783662641408"</f>
        <v>9783662641408</v>
      </c>
      <c r="E2744" t="s">
        <v>1416</v>
      </c>
      <c r="F2744" s="1">
        <v>44477</v>
      </c>
    </row>
    <row r="2745" spans="1:6" x14ac:dyDescent="0.25">
      <c r="A2745">
        <v>6747838</v>
      </c>
      <c r="B2745" t="s">
        <v>2788</v>
      </c>
      <c r="C2745" t="str">
        <f>"9783030742393"</f>
        <v>9783030742393</v>
      </c>
      <c r="D2745" t="str">
        <f>"9783030742409"</f>
        <v>9783030742409</v>
      </c>
      <c r="E2745" t="s">
        <v>756</v>
      </c>
      <c r="F2745" s="1">
        <v>44478</v>
      </c>
    </row>
    <row r="2746" spans="1:6" x14ac:dyDescent="0.25">
      <c r="A2746">
        <v>6747846</v>
      </c>
      <c r="B2746" t="s">
        <v>2789</v>
      </c>
      <c r="C2746" t="str">
        <f>""</f>
        <v/>
      </c>
      <c r="D2746" t="str">
        <f>"9789179296216"</f>
        <v>9789179296216</v>
      </c>
      <c r="E2746" t="s">
        <v>1268</v>
      </c>
      <c r="F2746" s="1">
        <v>44460</v>
      </c>
    </row>
    <row r="2747" spans="1:6" x14ac:dyDescent="0.25">
      <c r="A2747">
        <v>6747976</v>
      </c>
      <c r="B2747" t="s">
        <v>2790</v>
      </c>
      <c r="C2747" t="str">
        <f>"9783030786267"</f>
        <v>9783030786267</v>
      </c>
      <c r="D2747" t="str">
        <f>"9783030786274"</f>
        <v>9783030786274</v>
      </c>
      <c r="E2747" t="s">
        <v>756</v>
      </c>
      <c r="F2747" s="1">
        <v>44479</v>
      </c>
    </row>
    <row r="2748" spans="1:6" x14ac:dyDescent="0.25">
      <c r="A2748">
        <v>6748746</v>
      </c>
      <c r="B2748" t="s">
        <v>2791</v>
      </c>
      <c r="C2748" t="str">
        <f>"9789811647246"</f>
        <v>9789811647246</v>
      </c>
      <c r="D2748" t="str">
        <f>"9789811647253"</f>
        <v>9789811647253</v>
      </c>
      <c r="E2748" t="s">
        <v>1177</v>
      </c>
      <c r="F2748" s="1">
        <v>44480</v>
      </c>
    </row>
    <row r="2749" spans="1:6" x14ac:dyDescent="0.25">
      <c r="A2749">
        <v>6749215</v>
      </c>
      <c r="B2749" t="s">
        <v>2792</v>
      </c>
      <c r="C2749" t="str">
        <f>"9789811629037"</f>
        <v>9789811629037</v>
      </c>
      <c r="D2749" t="str">
        <f>"9789811629044"</f>
        <v>9789811629044</v>
      </c>
      <c r="E2749" t="s">
        <v>1177</v>
      </c>
      <c r="F2749" s="1">
        <v>44481</v>
      </c>
    </row>
    <row r="2750" spans="1:6" x14ac:dyDescent="0.25">
      <c r="A2750">
        <v>6749216</v>
      </c>
      <c r="B2750" t="s">
        <v>2793</v>
      </c>
      <c r="C2750" t="str">
        <f>"9783662629864"</f>
        <v>9783662629864</v>
      </c>
      <c r="D2750" t="str">
        <f>"9783662629871"</f>
        <v>9783662629871</v>
      </c>
      <c r="E2750" t="s">
        <v>1416</v>
      </c>
      <c r="F2750" s="1">
        <v>44481</v>
      </c>
    </row>
    <row r="2751" spans="1:6" x14ac:dyDescent="0.25">
      <c r="A2751">
        <v>6749217</v>
      </c>
      <c r="B2751" t="s">
        <v>2794</v>
      </c>
      <c r="C2751" t="str">
        <f>"9783662632031"</f>
        <v>9783662632031</v>
      </c>
      <c r="D2751" t="str">
        <f>"9783662632048"</f>
        <v>9783662632048</v>
      </c>
      <c r="E2751" t="s">
        <v>1852</v>
      </c>
      <c r="F2751" s="1">
        <v>44481</v>
      </c>
    </row>
    <row r="2752" spans="1:6" x14ac:dyDescent="0.25">
      <c r="A2752">
        <v>6749218</v>
      </c>
      <c r="B2752" t="s">
        <v>2795</v>
      </c>
      <c r="C2752" t="str">
        <f>"9783030782009"</f>
        <v>9783030782009</v>
      </c>
      <c r="D2752" t="str">
        <f>"9783030782016"</f>
        <v>9783030782016</v>
      </c>
      <c r="E2752" t="s">
        <v>756</v>
      </c>
      <c r="F2752" s="1">
        <v>44482</v>
      </c>
    </row>
    <row r="2753" spans="1:6" x14ac:dyDescent="0.25">
      <c r="A2753">
        <v>6749219</v>
      </c>
      <c r="B2753" t="s">
        <v>2796</v>
      </c>
      <c r="C2753" t="str">
        <f>"9783030783532"</f>
        <v>9783030783532</v>
      </c>
      <c r="D2753" t="str">
        <f>"9783030783549"</f>
        <v>9783030783549</v>
      </c>
      <c r="E2753" t="s">
        <v>756</v>
      </c>
      <c r="F2753" s="1">
        <v>44481</v>
      </c>
    </row>
    <row r="2754" spans="1:6" x14ac:dyDescent="0.25">
      <c r="A2754">
        <v>6749466</v>
      </c>
      <c r="B2754" t="s">
        <v>2797</v>
      </c>
      <c r="C2754" t="str">
        <f>"9783837652864"</f>
        <v>9783837652864</v>
      </c>
      <c r="D2754" t="str">
        <f>"9783839452868"</f>
        <v>9783839452868</v>
      </c>
      <c r="E2754" t="s">
        <v>2798</v>
      </c>
      <c r="F2754" s="1">
        <v>43952</v>
      </c>
    </row>
    <row r="2755" spans="1:6" x14ac:dyDescent="0.25">
      <c r="A2755">
        <v>6749647</v>
      </c>
      <c r="B2755" t="s">
        <v>2799</v>
      </c>
      <c r="C2755" t="str">
        <f>"9783837656213"</f>
        <v>9783837656213</v>
      </c>
      <c r="D2755" t="str">
        <f>"9783839456217"</f>
        <v>9783839456217</v>
      </c>
      <c r="E2755" t="s">
        <v>2798</v>
      </c>
      <c r="F2755" s="1">
        <v>44348</v>
      </c>
    </row>
    <row r="2756" spans="1:6" x14ac:dyDescent="0.25">
      <c r="A2756">
        <v>6749729</v>
      </c>
      <c r="B2756" t="s">
        <v>2800</v>
      </c>
      <c r="C2756" t="str">
        <f>"9783837642278"</f>
        <v>9783837642278</v>
      </c>
      <c r="D2756" t="str">
        <f>"9783839442272"</f>
        <v>9783839442272</v>
      </c>
      <c r="E2756" t="s">
        <v>2798</v>
      </c>
      <c r="F2756" s="1">
        <v>43282</v>
      </c>
    </row>
    <row r="2757" spans="1:6" x14ac:dyDescent="0.25">
      <c r="A2757">
        <v>6749811</v>
      </c>
      <c r="B2757" t="s">
        <v>2801</v>
      </c>
      <c r="C2757" t="str">
        <f>"9783837643848"</f>
        <v>9783837643848</v>
      </c>
      <c r="D2757" t="str">
        <f>"9783839443842"</f>
        <v>9783839443842</v>
      </c>
      <c r="E2757" t="s">
        <v>2798</v>
      </c>
      <c r="F2757" s="1">
        <v>43374</v>
      </c>
    </row>
    <row r="2758" spans="1:6" x14ac:dyDescent="0.25">
      <c r="A2758">
        <v>6749889</v>
      </c>
      <c r="B2758" t="s">
        <v>2802</v>
      </c>
      <c r="C2758" t="str">
        <f>"9783837651508"</f>
        <v>9783837651508</v>
      </c>
      <c r="D2758" t="str">
        <f>"9783839451502"</f>
        <v>9783839451502</v>
      </c>
      <c r="E2758" t="s">
        <v>2798</v>
      </c>
      <c r="F2758" s="1">
        <v>43891</v>
      </c>
    </row>
    <row r="2759" spans="1:6" x14ac:dyDescent="0.25">
      <c r="A2759">
        <v>6749923</v>
      </c>
      <c r="B2759" t="s">
        <v>2803</v>
      </c>
      <c r="C2759" t="str">
        <f>"9783837640922"</f>
        <v>9783837640922</v>
      </c>
      <c r="D2759" t="str">
        <f>"9783839440926"</f>
        <v>9783839440926</v>
      </c>
      <c r="E2759" t="s">
        <v>2798</v>
      </c>
      <c r="F2759" s="1">
        <v>43070</v>
      </c>
    </row>
    <row r="2760" spans="1:6" x14ac:dyDescent="0.25">
      <c r="A2760">
        <v>6750107</v>
      </c>
      <c r="B2760" t="s">
        <v>2804</v>
      </c>
      <c r="C2760" t="str">
        <f>"9783732858378"</f>
        <v>9783732858378</v>
      </c>
      <c r="D2760" t="str">
        <f>"9783839458372"</f>
        <v>9783839458372</v>
      </c>
      <c r="E2760" t="s">
        <v>2798</v>
      </c>
      <c r="F2760" s="1">
        <v>44348</v>
      </c>
    </row>
    <row r="2761" spans="1:6" x14ac:dyDescent="0.25">
      <c r="A2761">
        <v>6750294</v>
      </c>
      <c r="B2761" t="s">
        <v>2805</v>
      </c>
      <c r="C2761" t="str">
        <f>"9783732857531"</f>
        <v>9783732857531</v>
      </c>
      <c r="D2761" t="str">
        <f>"9783839457535"</f>
        <v>9783839457535</v>
      </c>
      <c r="E2761" t="s">
        <v>2798</v>
      </c>
      <c r="F2761" s="1">
        <v>44348</v>
      </c>
    </row>
    <row r="2762" spans="1:6" x14ac:dyDescent="0.25">
      <c r="A2762">
        <v>6750315</v>
      </c>
      <c r="B2762" t="s">
        <v>2806</v>
      </c>
      <c r="C2762" t="str">
        <f>"9783837653458"</f>
        <v>9783837653458</v>
      </c>
      <c r="D2762" t="str">
        <f>"9783839453452"</f>
        <v>9783839453452</v>
      </c>
      <c r="E2762" t="s">
        <v>2798</v>
      </c>
      <c r="F2762" s="1">
        <v>44317</v>
      </c>
    </row>
    <row r="2763" spans="1:6" x14ac:dyDescent="0.25">
      <c r="A2763">
        <v>6750333</v>
      </c>
      <c r="B2763" t="s">
        <v>2807</v>
      </c>
      <c r="C2763" t="str">
        <f>""</f>
        <v/>
      </c>
      <c r="D2763" t="str">
        <f>"9783839444917"</f>
        <v>9783839444917</v>
      </c>
      <c r="E2763" t="s">
        <v>2494</v>
      </c>
      <c r="F2763" s="1">
        <v>44130</v>
      </c>
    </row>
    <row r="2764" spans="1:6" x14ac:dyDescent="0.25">
      <c r="A2764">
        <v>6750416</v>
      </c>
      <c r="B2764" t="s">
        <v>2808</v>
      </c>
      <c r="C2764" t="str">
        <f>"9783837653557"</f>
        <v>9783837653557</v>
      </c>
      <c r="D2764" t="str">
        <f>"9783839453551"</f>
        <v>9783839453551</v>
      </c>
      <c r="E2764" t="s">
        <v>2798</v>
      </c>
      <c r="F2764" s="1">
        <v>44075</v>
      </c>
    </row>
    <row r="2765" spans="1:6" x14ac:dyDescent="0.25">
      <c r="A2765">
        <v>6750483</v>
      </c>
      <c r="B2765" t="s">
        <v>2809</v>
      </c>
      <c r="C2765" t="str">
        <f>"9783837655742"</f>
        <v>9783837655742</v>
      </c>
      <c r="D2765" t="str">
        <f>"9783839455746"</f>
        <v>9783839455746</v>
      </c>
      <c r="E2765" t="s">
        <v>2798</v>
      </c>
      <c r="F2765" s="1">
        <v>44075</v>
      </c>
    </row>
    <row r="2766" spans="1:6" x14ac:dyDescent="0.25">
      <c r="A2766">
        <v>6750588</v>
      </c>
      <c r="B2766" t="s">
        <v>2810</v>
      </c>
      <c r="C2766" t="str">
        <f>"9783837647532"</f>
        <v>9783837647532</v>
      </c>
      <c r="D2766" t="str">
        <f>"9783839447536"</f>
        <v>9783839447536</v>
      </c>
      <c r="E2766" t="s">
        <v>2798</v>
      </c>
      <c r="F2766" s="1">
        <v>43891</v>
      </c>
    </row>
    <row r="2767" spans="1:6" x14ac:dyDescent="0.25">
      <c r="A2767">
        <v>6750638</v>
      </c>
      <c r="B2767" t="s">
        <v>2811</v>
      </c>
      <c r="C2767" t="str">
        <f>"9783837639131"</f>
        <v>9783837639131</v>
      </c>
      <c r="D2767" t="str">
        <f>"9783839439135"</f>
        <v>9783839439135</v>
      </c>
      <c r="E2767" t="s">
        <v>2798</v>
      </c>
      <c r="F2767" s="1">
        <v>43344</v>
      </c>
    </row>
    <row r="2768" spans="1:6" x14ac:dyDescent="0.25">
      <c r="A2768">
        <v>6750643</v>
      </c>
      <c r="B2768" t="s">
        <v>2812</v>
      </c>
      <c r="C2768" t="str">
        <f>"9783837655919"</f>
        <v>9783837655919</v>
      </c>
      <c r="D2768" t="str">
        <f>"9783839455913"</f>
        <v>9783839455913</v>
      </c>
      <c r="E2768" t="s">
        <v>2798</v>
      </c>
      <c r="F2768" s="1">
        <v>44348</v>
      </c>
    </row>
    <row r="2769" spans="1:6" x14ac:dyDescent="0.25">
      <c r="A2769">
        <v>6750671</v>
      </c>
      <c r="B2769" t="s">
        <v>2813</v>
      </c>
      <c r="C2769" t="str">
        <f>"9783732856169"</f>
        <v>9783732856169</v>
      </c>
      <c r="D2769" t="str">
        <f>"9783839456163"</f>
        <v>9783839456163</v>
      </c>
      <c r="E2769" t="s">
        <v>2798</v>
      </c>
      <c r="F2769" s="1">
        <v>44166</v>
      </c>
    </row>
    <row r="2770" spans="1:6" x14ac:dyDescent="0.25">
      <c r="A2770">
        <v>6750672</v>
      </c>
      <c r="B2770" t="s">
        <v>2814</v>
      </c>
      <c r="C2770" t="str">
        <f>"9783837647198"</f>
        <v>9783837647198</v>
      </c>
      <c r="D2770" t="str">
        <f>"9783839447192"</f>
        <v>9783839447192</v>
      </c>
      <c r="E2770" t="s">
        <v>2798</v>
      </c>
      <c r="F2770" s="1">
        <v>43739</v>
      </c>
    </row>
    <row r="2771" spans="1:6" x14ac:dyDescent="0.25">
      <c r="A2771">
        <v>6750675</v>
      </c>
      <c r="B2771" t="s">
        <v>2815</v>
      </c>
      <c r="C2771" t="str">
        <f>"9783732850235"</f>
        <v>9783732850235</v>
      </c>
      <c r="D2771" t="str">
        <f>"9783839450239"</f>
        <v>9783839450239</v>
      </c>
      <c r="E2771" t="s">
        <v>2798</v>
      </c>
      <c r="F2771" s="1">
        <v>44287</v>
      </c>
    </row>
    <row r="2772" spans="1:6" x14ac:dyDescent="0.25">
      <c r="A2772">
        <v>6750727</v>
      </c>
      <c r="B2772" t="s">
        <v>2816</v>
      </c>
      <c r="C2772" t="str">
        <f>"9783837650662"</f>
        <v>9783837650662</v>
      </c>
      <c r="D2772" t="str">
        <f>"9783839450666"</f>
        <v>9783839450666</v>
      </c>
      <c r="E2772" t="s">
        <v>2798</v>
      </c>
      <c r="F2772" s="1">
        <v>44075</v>
      </c>
    </row>
    <row r="2773" spans="1:6" x14ac:dyDescent="0.25">
      <c r="A2773">
        <v>6750764</v>
      </c>
      <c r="B2773" t="s">
        <v>2817</v>
      </c>
      <c r="C2773" t="str">
        <f>"9783732853717"</f>
        <v>9783732853717</v>
      </c>
      <c r="D2773" t="str">
        <f>"9783839453711"</f>
        <v>9783839453711</v>
      </c>
      <c r="E2773" t="s">
        <v>2798</v>
      </c>
      <c r="F2773" s="1">
        <v>44075</v>
      </c>
    </row>
    <row r="2774" spans="1:6" x14ac:dyDescent="0.25">
      <c r="A2774">
        <v>6750765</v>
      </c>
      <c r="B2774" t="s">
        <v>2818</v>
      </c>
      <c r="C2774" t="str">
        <f>"9783837649833"</f>
        <v>9783837649833</v>
      </c>
      <c r="D2774" t="str">
        <f>"9783839449837"</f>
        <v>9783839449837</v>
      </c>
      <c r="E2774" t="s">
        <v>2798</v>
      </c>
      <c r="F2774" s="1">
        <v>44075</v>
      </c>
    </row>
    <row r="2775" spans="1:6" x14ac:dyDescent="0.25">
      <c r="A2775">
        <v>6750891</v>
      </c>
      <c r="B2775" t="s">
        <v>2819</v>
      </c>
      <c r="C2775" t="str">
        <f>"9783837643039"</f>
        <v>9783837643039</v>
      </c>
      <c r="D2775" t="str">
        <f>"9783839443033"</f>
        <v>9783839443033</v>
      </c>
      <c r="E2775" t="s">
        <v>2798</v>
      </c>
      <c r="F2775" s="1">
        <v>43497</v>
      </c>
    </row>
    <row r="2776" spans="1:6" x14ac:dyDescent="0.25">
      <c r="A2776">
        <v>6751002</v>
      </c>
      <c r="B2776" t="s">
        <v>2820</v>
      </c>
      <c r="C2776" t="str">
        <f>"9783837648812"</f>
        <v>9783837648812</v>
      </c>
      <c r="D2776" t="str">
        <f>"9783839448816"</f>
        <v>9783839448816</v>
      </c>
      <c r="E2776" t="s">
        <v>2798</v>
      </c>
      <c r="F2776" s="1">
        <v>43862</v>
      </c>
    </row>
    <row r="2777" spans="1:6" x14ac:dyDescent="0.25">
      <c r="A2777">
        <v>6751046</v>
      </c>
      <c r="B2777" t="s">
        <v>2821</v>
      </c>
      <c r="C2777" t="str">
        <f>"9783837652437"</f>
        <v>9783837652437</v>
      </c>
      <c r="D2777" t="str">
        <f>"9783839452431"</f>
        <v>9783839452431</v>
      </c>
      <c r="E2777" t="s">
        <v>2798</v>
      </c>
      <c r="F2777" s="1">
        <v>44013</v>
      </c>
    </row>
    <row r="2778" spans="1:6" x14ac:dyDescent="0.25">
      <c r="A2778">
        <v>6751059</v>
      </c>
      <c r="B2778" t="s">
        <v>2822</v>
      </c>
      <c r="C2778" t="str">
        <f>"9783837650228"</f>
        <v>9783837650228</v>
      </c>
      <c r="D2778" t="str">
        <f>"9783839450222"</f>
        <v>9783839450222</v>
      </c>
      <c r="E2778" t="s">
        <v>2798</v>
      </c>
      <c r="F2778" s="1">
        <v>43891</v>
      </c>
    </row>
    <row r="2779" spans="1:6" x14ac:dyDescent="0.25">
      <c r="A2779">
        <v>6751064</v>
      </c>
      <c r="B2779" t="s">
        <v>2823</v>
      </c>
      <c r="C2779" t="str">
        <f>"9783732853212"</f>
        <v>9783732853212</v>
      </c>
      <c r="D2779" t="str">
        <f>"9783839453216"</f>
        <v>9783839453216</v>
      </c>
      <c r="E2779" t="s">
        <v>2798</v>
      </c>
      <c r="F2779" s="1">
        <v>43983</v>
      </c>
    </row>
    <row r="2780" spans="1:6" x14ac:dyDescent="0.25">
      <c r="A2780">
        <v>6751170</v>
      </c>
      <c r="B2780" t="s">
        <v>2824</v>
      </c>
      <c r="C2780" t="str">
        <f>"9783837651041"</f>
        <v>9783837651041</v>
      </c>
      <c r="D2780" t="str">
        <f>"9783839451045"</f>
        <v>9783839451045</v>
      </c>
      <c r="E2780" t="s">
        <v>2798</v>
      </c>
      <c r="F2780" s="1">
        <v>43952</v>
      </c>
    </row>
    <row r="2781" spans="1:6" x14ac:dyDescent="0.25">
      <c r="A2781">
        <v>6751200</v>
      </c>
      <c r="B2781" t="s">
        <v>2825</v>
      </c>
      <c r="C2781" t="str">
        <f>"9783837652000"</f>
        <v>9783837652000</v>
      </c>
      <c r="D2781" t="str">
        <f>"9783839452004"</f>
        <v>9783839452004</v>
      </c>
      <c r="E2781" t="s">
        <v>2798</v>
      </c>
      <c r="F2781" s="1">
        <v>43952</v>
      </c>
    </row>
    <row r="2782" spans="1:6" x14ac:dyDescent="0.25">
      <c r="A2782">
        <v>6751224</v>
      </c>
      <c r="B2782" t="s">
        <v>2826</v>
      </c>
      <c r="C2782" t="str">
        <f>"9783837640663"</f>
        <v>9783837640663</v>
      </c>
      <c r="D2782" t="str">
        <f>"9783839440667"</f>
        <v>9783839440667</v>
      </c>
      <c r="E2782" t="s">
        <v>2798</v>
      </c>
      <c r="F2782" s="1">
        <v>43191</v>
      </c>
    </row>
    <row r="2783" spans="1:6" x14ac:dyDescent="0.25">
      <c r="A2783">
        <v>6751348</v>
      </c>
      <c r="B2783" t="s">
        <v>2827</v>
      </c>
      <c r="C2783" t="str">
        <f>"9783837650785"</f>
        <v>9783837650785</v>
      </c>
      <c r="D2783" t="str">
        <f>"9783839450789"</f>
        <v>9783839450789</v>
      </c>
      <c r="E2783" t="s">
        <v>2798</v>
      </c>
      <c r="F2783" s="1">
        <v>43831</v>
      </c>
    </row>
    <row r="2784" spans="1:6" x14ac:dyDescent="0.25">
      <c r="A2784">
        <v>6751396</v>
      </c>
      <c r="B2784" t="s">
        <v>2828</v>
      </c>
      <c r="C2784" t="str">
        <f>"9783837652871"</f>
        <v>9783837652871</v>
      </c>
      <c r="D2784" t="str">
        <f>"9783839452875"</f>
        <v>9783839452875</v>
      </c>
      <c r="E2784" t="s">
        <v>2798</v>
      </c>
      <c r="F2784" s="1">
        <v>44256</v>
      </c>
    </row>
    <row r="2785" spans="1:6" x14ac:dyDescent="0.25">
      <c r="A2785">
        <v>6751405</v>
      </c>
      <c r="B2785" t="s">
        <v>2829</v>
      </c>
      <c r="C2785" t="str">
        <f>"9783837652031"</f>
        <v>9783837652031</v>
      </c>
      <c r="D2785" t="str">
        <f>"9783839452035"</f>
        <v>9783839452035</v>
      </c>
      <c r="E2785" t="s">
        <v>2798</v>
      </c>
      <c r="F2785" s="1">
        <v>44166</v>
      </c>
    </row>
    <row r="2786" spans="1:6" x14ac:dyDescent="0.25">
      <c r="A2786">
        <v>6751437</v>
      </c>
      <c r="B2786" t="s">
        <v>2830</v>
      </c>
      <c r="C2786" t="str">
        <f>"9783837652451"</f>
        <v>9783837652451</v>
      </c>
      <c r="D2786" t="str">
        <f>"9783839452455"</f>
        <v>9783839452455</v>
      </c>
      <c r="E2786" t="s">
        <v>2798</v>
      </c>
      <c r="F2786" s="1">
        <v>43983</v>
      </c>
    </row>
    <row r="2787" spans="1:6" x14ac:dyDescent="0.25">
      <c r="A2787">
        <v>6751477</v>
      </c>
      <c r="B2787" t="s">
        <v>2831</v>
      </c>
      <c r="C2787" t="str">
        <f>"9783732856619"</f>
        <v>9783732856619</v>
      </c>
      <c r="D2787" t="str">
        <f>"9783839456613"</f>
        <v>9783839456613</v>
      </c>
      <c r="E2787" t="s">
        <v>2798</v>
      </c>
      <c r="F2787" s="1">
        <v>44317</v>
      </c>
    </row>
    <row r="2788" spans="1:6" x14ac:dyDescent="0.25">
      <c r="A2788">
        <v>6751646</v>
      </c>
      <c r="B2788" t="s">
        <v>2832</v>
      </c>
      <c r="C2788" t="str">
        <f>"9783837648959"</f>
        <v>9783837648959</v>
      </c>
      <c r="D2788" t="str">
        <f>"9783839448953"</f>
        <v>9783839448953</v>
      </c>
      <c r="E2788" t="s">
        <v>2798</v>
      </c>
      <c r="F2788" s="1">
        <v>43983</v>
      </c>
    </row>
    <row r="2789" spans="1:6" x14ac:dyDescent="0.25">
      <c r="A2789">
        <v>6751649</v>
      </c>
      <c r="B2789" t="s">
        <v>2833</v>
      </c>
      <c r="C2789" t="str">
        <f>"9783837654370"</f>
        <v>9783837654370</v>
      </c>
      <c r="D2789" t="str">
        <f>"9783839454374"</f>
        <v>9783839454374</v>
      </c>
      <c r="E2789" t="s">
        <v>2798</v>
      </c>
      <c r="F2789" s="1">
        <v>44105</v>
      </c>
    </row>
    <row r="2790" spans="1:6" x14ac:dyDescent="0.25">
      <c r="A2790">
        <v>6751730</v>
      </c>
      <c r="B2790" t="s">
        <v>2834</v>
      </c>
      <c r="C2790" t="str">
        <f>"9783732841196"</f>
        <v>9783732841196</v>
      </c>
      <c r="D2790" t="str">
        <f>"9783839441190"</f>
        <v>9783839441190</v>
      </c>
      <c r="E2790" t="s">
        <v>2798</v>
      </c>
      <c r="F2790" s="1">
        <v>43160</v>
      </c>
    </row>
    <row r="2791" spans="1:6" x14ac:dyDescent="0.25">
      <c r="A2791">
        <v>6751936</v>
      </c>
      <c r="B2791" t="s">
        <v>2835</v>
      </c>
      <c r="C2791" t="str">
        <f>"9783732856053"</f>
        <v>9783732856053</v>
      </c>
      <c r="D2791" t="str">
        <f>"9783839456057"</f>
        <v>9783839456057</v>
      </c>
      <c r="E2791" t="s">
        <v>2798</v>
      </c>
      <c r="F2791" s="1">
        <v>44348</v>
      </c>
    </row>
    <row r="2792" spans="1:6" x14ac:dyDescent="0.25">
      <c r="A2792">
        <v>6752054</v>
      </c>
      <c r="B2792" t="s">
        <v>2836</v>
      </c>
      <c r="C2792" t="str">
        <f>""</f>
        <v/>
      </c>
      <c r="D2792" t="str">
        <f>"9783839402597"</f>
        <v>9783839402597</v>
      </c>
      <c r="E2792" t="s">
        <v>2494</v>
      </c>
      <c r="F2792" s="1">
        <v>42272</v>
      </c>
    </row>
    <row r="2793" spans="1:6" x14ac:dyDescent="0.25">
      <c r="A2793">
        <v>6752094</v>
      </c>
      <c r="B2793" t="s">
        <v>2837</v>
      </c>
      <c r="C2793" t="str">
        <f>"9783837657364"</f>
        <v>9783837657364</v>
      </c>
      <c r="D2793" t="str">
        <f>"9783839457368"</f>
        <v>9783839457368</v>
      </c>
      <c r="E2793" t="s">
        <v>2798</v>
      </c>
      <c r="F2793" s="1">
        <v>44256</v>
      </c>
    </row>
    <row r="2794" spans="1:6" x14ac:dyDescent="0.25">
      <c r="A2794">
        <v>6752153</v>
      </c>
      <c r="B2794" t="s">
        <v>2838</v>
      </c>
      <c r="C2794" t="str">
        <f>"9783837649857"</f>
        <v>9783837649857</v>
      </c>
      <c r="D2794" t="str">
        <f>"9783839449851"</f>
        <v>9783839449851</v>
      </c>
      <c r="E2794" t="s">
        <v>2798</v>
      </c>
      <c r="F2794" s="1">
        <v>43862</v>
      </c>
    </row>
    <row r="2795" spans="1:6" x14ac:dyDescent="0.25">
      <c r="A2795">
        <v>6752162</v>
      </c>
      <c r="B2795" t="s">
        <v>2839</v>
      </c>
      <c r="C2795" t="str">
        <f>"9783837647426"</f>
        <v>9783837647426</v>
      </c>
      <c r="D2795" t="str">
        <f>"9783839447420"</f>
        <v>9783839447420</v>
      </c>
      <c r="E2795" t="s">
        <v>2798</v>
      </c>
      <c r="F2795" s="1">
        <v>44105</v>
      </c>
    </row>
    <row r="2796" spans="1:6" x14ac:dyDescent="0.25">
      <c r="A2796">
        <v>6752170</v>
      </c>
      <c r="B2796" t="s">
        <v>2840</v>
      </c>
      <c r="C2796" t="str">
        <f>"9783837651218"</f>
        <v>9783837651218</v>
      </c>
      <c r="D2796" t="str">
        <f>"9783839451212"</f>
        <v>9783839451212</v>
      </c>
      <c r="E2796" t="s">
        <v>2798</v>
      </c>
      <c r="F2796" s="1">
        <v>43952</v>
      </c>
    </row>
    <row r="2797" spans="1:6" x14ac:dyDescent="0.25">
      <c r="A2797">
        <v>6752238</v>
      </c>
      <c r="B2797" t="s">
        <v>2841</v>
      </c>
      <c r="C2797" t="str">
        <f>"9783837655933"</f>
        <v>9783837655933</v>
      </c>
      <c r="D2797" t="str">
        <f>"9783839455937"</f>
        <v>9783839455937</v>
      </c>
      <c r="E2797" t="s">
        <v>2798</v>
      </c>
      <c r="F2797" s="1">
        <v>44317</v>
      </c>
    </row>
    <row r="2798" spans="1:6" x14ac:dyDescent="0.25">
      <c r="A2798">
        <v>6752262</v>
      </c>
      <c r="B2798" t="s">
        <v>2842</v>
      </c>
      <c r="C2798" t="str">
        <f>"9783732852475"</f>
        <v>9783732852475</v>
      </c>
      <c r="D2798" t="str">
        <f>"9783839452479"</f>
        <v>9783839452479</v>
      </c>
      <c r="E2798" t="s">
        <v>2798</v>
      </c>
      <c r="F2798" s="1">
        <v>43983</v>
      </c>
    </row>
    <row r="2799" spans="1:6" x14ac:dyDescent="0.25">
      <c r="A2799">
        <v>6752356</v>
      </c>
      <c r="B2799" t="s">
        <v>2843</v>
      </c>
      <c r="C2799" t="str">
        <f>"9783837640304"</f>
        <v>9783837640304</v>
      </c>
      <c r="D2799" t="str">
        <f>"9783839440308"</f>
        <v>9783839440308</v>
      </c>
      <c r="E2799" t="s">
        <v>2798</v>
      </c>
      <c r="F2799" s="1">
        <v>43070</v>
      </c>
    </row>
    <row r="2800" spans="1:6" x14ac:dyDescent="0.25">
      <c r="A2800">
        <v>6752392</v>
      </c>
      <c r="B2800" t="s">
        <v>2844</v>
      </c>
      <c r="C2800" t="str">
        <f>"9783837654486"</f>
        <v>9783837654486</v>
      </c>
      <c r="D2800" t="str">
        <f>"9783839454480"</f>
        <v>9783839454480</v>
      </c>
      <c r="E2800" t="s">
        <v>2798</v>
      </c>
      <c r="F2800" s="1">
        <v>44317</v>
      </c>
    </row>
    <row r="2801" spans="1:6" x14ac:dyDescent="0.25">
      <c r="A2801">
        <v>6752410</v>
      </c>
      <c r="B2801" t="s">
        <v>2845</v>
      </c>
      <c r="C2801" t="str">
        <f>"9783837651454"</f>
        <v>9783837651454</v>
      </c>
      <c r="D2801" t="str">
        <f>"9783839451458"</f>
        <v>9783839451458</v>
      </c>
      <c r="E2801" t="s">
        <v>2798</v>
      </c>
      <c r="F2801" s="1">
        <v>44197</v>
      </c>
    </row>
    <row r="2802" spans="1:6" x14ac:dyDescent="0.25">
      <c r="A2802">
        <v>6752460</v>
      </c>
      <c r="B2802" t="s">
        <v>2846</v>
      </c>
      <c r="C2802" t="str">
        <f>"9783732850167"</f>
        <v>9783732850167</v>
      </c>
      <c r="D2802" t="str">
        <f>"9783839450161"</f>
        <v>9783839450161</v>
      </c>
      <c r="E2802" t="s">
        <v>2798</v>
      </c>
      <c r="F2802" s="1">
        <v>43891</v>
      </c>
    </row>
    <row r="2803" spans="1:6" x14ac:dyDescent="0.25">
      <c r="A2803">
        <v>6752643</v>
      </c>
      <c r="B2803" t="s">
        <v>2847</v>
      </c>
      <c r="C2803" t="str">
        <f>"9783837642230"</f>
        <v>9783837642230</v>
      </c>
      <c r="D2803" t="str">
        <f>"9783839442234"</f>
        <v>9783839442234</v>
      </c>
      <c r="E2803" t="s">
        <v>2798</v>
      </c>
      <c r="F2803" s="1">
        <v>43221</v>
      </c>
    </row>
    <row r="2804" spans="1:6" x14ac:dyDescent="0.25">
      <c r="A2804">
        <v>6752683</v>
      </c>
      <c r="B2804" t="s">
        <v>2848</v>
      </c>
      <c r="C2804" t="str">
        <f>"9783837655025"</f>
        <v>9783837655025</v>
      </c>
      <c r="D2804" t="str">
        <f>"9783839455029"</f>
        <v>9783839455029</v>
      </c>
      <c r="E2804" t="s">
        <v>2798</v>
      </c>
      <c r="F2804" s="1">
        <v>44166</v>
      </c>
    </row>
    <row r="2805" spans="1:6" x14ac:dyDescent="0.25">
      <c r="A2805">
        <v>6752765</v>
      </c>
      <c r="B2805" t="s">
        <v>2849</v>
      </c>
      <c r="C2805" t="str">
        <f>"9783732853182"</f>
        <v>9783732853182</v>
      </c>
      <c r="D2805" t="str">
        <f>"9783839453186"</f>
        <v>9783839453186</v>
      </c>
      <c r="E2805" t="s">
        <v>2798</v>
      </c>
      <c r="F2805" s="1">
        <v>44013</v>
      </c>
    </row>
    <row r="2806" spans="1:6" x14ac:dyDescent="0.25">
      <c r="A2806">
        <v>6752817</v>
      </c>
      <c r="B2806" t="s">
        <v>2850</v>
      </c>
      <c r="C2806" t="str">
        <f>"9783837656923"</f>
        <v>9783837656923</v>
      </c>
      <c r="D2806" t="str">
        <f>"9783839456927"</f>
        <v>9783839456927</v>
      </c>
      <c r="E2806" t="s">
        <v>2798</v>
      </c>
      <c r="F2806" s="1">
        <v>44256</v>
      </c>
    </row>
    <row r="2807" spans="1:6" x14ac:dyDescent="0.25">
      <c r="A2807">
        <v>6752878</v>
      </c>
      <c r="B2807" t="s">
        <v>2852</v>
      </c>
      <c r="C2807" t="str">
        <f>"9783837653229"</f>
        <v>9783837653229</v>
      </c>
      <c r="D2807" t="str">
        <f>"9783839453223"</f>
        <v>9783839453223</v>
      </c>
      <c r="E2807" t="s">
        <v>2798</v>
      </c>
      <c r="F2807" s="1">
        <v>44075</v>
      </c>
    </row>
    <row r="2808" spans="1:6" x14ac:dyDescent="0.25">
      <c r="A2808">
        <v>6752904</v>
      </c>
      <c r="B2808" t="s">
        <v>2853</v>
      </c>
      <c r="C2808" t="str">
        <f>"9783837653496"</f>
        <v>9783837653496</v>
      </c>
      <c r="D2808" t="str">
        <f>"9783839453490"</f>
        <v>9783839453490</v>
      </c>
      <c r="E2808" t="s">
        <v>2798</v>
      </c>
      <c r="F2808" s="1">
        <v>44317</v>
      </c>
    </row>
    <row r="2809" spans="1:6" x14ac:dyDescent="0.25">
      <c r="A2809">
        <v>6752967</v>
      </c>
      <c r="B2809" t="s">
        <v>2854</v>
      </c>
      <c r="C2809" t="str">
        <f>"9783732856459"</f>
        <v>9783732856459</v>
      </c>
      <c r="D2809" t="str">
        <f>"9783839456453"</f>
        <v>9783839456453</v>
      </c>
      <c r="E2809" t="s">
        <v>2798</v>
      </c>
      <c r="F2809" s="1">
        <v>44256</v>
      </c>
    </row>
    <row r="2810" spans="1:6" x14ac:dyDescent="0.25">
      <c r="A2810">
        <v>6753120</v>
      </c>
      <c r="B2810" t="s">
        <v>2855</v>
      </c>
      <c r="C2810" t="str">
        <f>"9783732851584"</f>
        <v>9783732851584</v>
      </c>
      <c r="D2810" t="str">
        <f>"9783839451588"</f>
        <v>9783839451588</v>
      </c>
      <c r="E2810" t="s">
        <v>2798</v>
      </c>
      <c r="F2810" s="1">
        <v>43952</v>
      </c>
    </row>
    <row r="2811" spans="1:6" x14ac:dyDescent="0.25">
      <c r="A2811">
        <v>6753123</v>
      </c>
      <c r="B2811" t="s">
        <v>2856</v>
      </c>
      <c r="C2811" t="str">
        <f>"9783837651805"</f>
        <v>9783837651805</v>
      </c>
      <c r="D2811" t="str">
        <f>"9783839451809"</f>
        <v>9783839451809</v>
      </c>
      <c r="E2811" t="s">
        <v>2798</v>
      </c>
      <c r="F2811" s="1">
        <v>43983</v>
      </c>
    </row>
    <row r="2812" spans="1:6" x14ac:dyDescent="0.25">
      <c r="A2812">
        <v>6753189</v>
      </c>
      <c r="B2812" t="s">
        <v>2857</v>
      </c>
      <c r="C2812" t="str">
        <f>"9783837657654"</f>
        <v>9783837657654</v>
      </c>
      <c r="D2812" t="str">
        <f>"9783839457658"</f>
        <v>9783839457658</v>
      </c>
      <c r="E2812" t="s">
        <v>2798</v>
      </c>
      <c r="F2812" s="1">
        <v>44317</v>
      </c>
    </row>
    <row r="2813" spans="1:6" x14ac:dyDescent="0.25">
      <c r="A2813">
        <v>6753200</v>
      </c>
      <c r="B2813" t="s">
        <v>2858</v>
      </c>
      <c r="C2813" t="str">
        <f>"9783732857166"</f>
        <v>9783732857166</v>
      </c>
      <c r="D2813" t="str">
        <f>"9783839457160"</f>
        <v>9783839457160</v>
      </c>
      <c r="E2813" t="s">
        <v>2798</v>
      </c>
      <c r="F2813" s="1">
        <v>44287</v>
      </c>
    </row>
    <row r="2814" spans="1:6" x14ac:dyDescent="0.25">
      <c r="A2814">
        <v>6753232</v>
      </c>
      <c r="B2814" t="s">
        <v>2859</v>
      </c>
      <c r="C2814" t="str">
        <f>"9783732853472"</f>
        <v>9783732853472</v>
      </c>
      <c r="D2814" t="str">
        <f>"9783839453476"</f>
        <v>9783839453476</v>
      </c>
      <c r="E2814" t="s">
        <v>2798</v>
      </c>
      <c r="F2814" s="1">
        <v>44105</v>
      </c>
    </row>
    <row r="2815" spans="1:6" x14ac:dyDescent="0.25">
      <c r="A2815">
        <v>6753359</v>
      </c>
      <c r="B2815" t="s">
        <v>2860</v>
      </c>
      <c r="C2815" t="str">
        <f>"9783837657685"</f>
        <v>9783837657685</v>
      </c>
      <c r="D2815" t="str">
        <f>"9783839457689"</f>
        <v>9783839457689</v>
      </c>
      <c r="E2815" t="s">
        <v>2798</v>
      </c>
      <c r="F2815" s="1">
        <v>44317</v>
      </c>
    </row>
    <row r="2816" spans="1:6" x14ac:dyDescent="0.25">
      <c r="A2816">
        <v>6753457</v>
      </c>
      <c r="B2816" t="s">
        <v>2861</v>
      </c>
      <c r="C2816" t="str">
        <f>"9783837638608"</f>
        <v>9783837638608</v>
      </c>
      <c r="D2816" t="str">
        <f>"9783839438602"</f>
        <v>9783839438602</v>
      </c>
      <c r="E2816" t="s">
        <v>2798</v>
      </c>
      <c r="F2816" s="1">
        <v>43191</v>
      </c>
    </row>
    <row r="2817" spans="1:6" x14ac:dyDescent="0.25">
      <c r="A2817">
        <v>6753578</v>
      </c>
      <c r="B2817" t="s">
        <v>2862</v>
      </c>
      <c r="C2817" t="str">
        <f>"9783837655452"</f>
        <v>9783837655452</v>
      </c>
      <c r="D2817" t="str">
        <f>"9783839455456"</f>
        <v>9783839455456</v>
      </c>
      <c r="E2817" t="s">
        <v>2798</v>
      </c>
      <c r="F2817" s="1">
        <v>44197</v>
      </c>
    </row>
    <row r="2818" spans="1:6" x14ac:dyDescent="0.25">
      <c r="A2818">
        <v>6753616</v>
      </c>
      <c r="B2818" t="s">
        <v>2863</v>
      </c>
      <c r="C2818" t="str">
        <f>"9783732857135"</f>
        <v>9783732857135</v>
      </c>
      <c r="D2818" t="str">
        <f>"9783839457139"</f>
        <v>9783839457139</v>
      </c>
      <c r="E2818" t="s">
        <v>2798</v>
      </c>
      <c r="F2818" s="1">
        <v>44317</v>
      </c>
    </row>
    <row r="2819" spans="1:6" x14ac:dyDescent="0.25">
      <c r="A2819">
        <v>6753625</v>
      </c>
      <c r="B2819" t="s">
        <v>2864</v>
      </c>
      <c r="C2819" t="str">
        <f>"9783837652307"</f>
        <v>9783837652307</v>
      </c>
      <c r="D2819" t="str">
        <f>"9783839452301"</f>
        <v>9783839452301</v>
      </c>
      <c r="E2819" t="s">
        <v>2798</v>
      </c>
      <c r="F2819" s="1">
        <v>43952</v>
      </c>
    </row>
    <row r="2820" spans="1:6" x14ac:dyDescent="0.25">
      <c r="A2820">
        <v>6753709</v>
      </c>
      <c r="B2820" t="s">
        <v>2865</v>
      </c>
      <c r="C2820" t="str">
        <f>"9783837657869"</f>
        <v>9783837657869</v>
      </c>
      <c r="D2820" t="str">
        <f>"9783839457863"</f>
        <v>9783839457863</v>
      </c>
      <c r="E2820" t="s">
        <v>2798</v>
      </c>
      <c r="F2820" s="1">
        <v>44348</v>
      </c>
    </row>
    <row r="2821" spans="1:6" x14ac:dyDescent="0.25">
      <c r="A2821">
        <v>6753721</v>
      </c>
      <c r="B2821" t="s">
        <v>2866</v>
      </c>
      <c r="C2821" t="str">
        <f>"9783732851317"</f>
        <v>9783732851317</v>
      </c>
      <c r="D2821" t="str">
        <f>"9783839451311"</f>
        <v>9783839451311</v>
      </c>
      <c r="E2821" t="s">
        <v>2798</v>
      </c>
      <c r="F2821" s="1">
        <v>43922</v>
      </c>
    </row>
    <row r="2822" spans="1:6" x14ac:dyDescent="0.25">
      <c r="A2822">
        <v>6753907</v>
      </c>
      <c r="B2822" t="s">
        <v>2867</v>
      </c>
      <c r="C2822" t="str">
        <f>"9783837656893"</f>
        <v>9783837656893</v>
      </c>
      <c r="D2822" t="str">
        <f>"9783839456897"</f>
        <v>9783839456897</v>
      </c>
      <c r="E2822" t="s">
        <v>2798</v>
      </c>
      <c r="F2822" s="1">
        <v>44317</v>
      </c>
    </row>
    <row r="2823" spans="1:6" x14ac:dyDescent="0.25">
      <c r="A2823">
        <v>6753948</v>
      </c>
      <c r="B2823" t="s">
        <v>2868</v>
      </c>
      <c r="C2823" t="str">
        <f>"9783837652505"</f>
        <v>9783837652505</v>
      </c>
      <c r="D2823" t="str">
        <f>"9783839452509"</f>
        <v>9783839452509</v>
      </c>
      <c r="E2823" t="s">
        <v>2798</v>
      </c>
      <c r="F2823" s="1">
        <v>44166</v>
      </c>
    </row>
    <row r="2824" spans="1:6" x14ac:dyDescent="0.25">
      <c r="A2824">
        <v>6754027</v>
      </c>
      <c r="B2824" t="s">
        <v>2869</v>
      </c>
      <c r="C2824" t="str">
        <f>"9783837640588"</f>
        <v>9783837640588</v>
      </c>
      <c r="D2824" t="str">
        <f>"9783839440582"</f>
        <v>9783839440582</v>
      </c>
      <c r="E2824" t="s">
        <v>2798</v>
      </c>
      <c r="F2824" s="1">
        <v>43070</v>
      </c>
    </row>
    <row r="2825" spans="1:6" x14ac:dyDescent="0.25">
      <c r="A2825">
        <v>6754031</v>
      </c>
      <c r="B2825" t="s">
        <v>2870</v>
      </c>
      <c r="C2825" t="str">
        <f>"9783732853656"</f>
        <v>9783732853656</v>
      </c>
      <c r="D2825" t="str">
        <f>"9783839453650"</f>
        <v>9783839453650</v>
      </c>
      <c r="E2825" t="s">
        <v>2798</v>
      </c>
      <c r="F2825" s="1">
        <v>44075</v>
      </c>
    </row>
    <row r="2826" spans="1:6" x14ac:dyDescent="0.25">
      <c r="A2826">
        <v>6754117</v>
      </c>
      <c r="B2826" t="s">
        <v>2871</v>
      </c>
      <c r="C2826" t="str">
        <f>"9783837642001"</f>
        <v>9783837642001</v>
      </c>
      <c r="D2826" t="str">
        <f>"9783839442005"</f>
        <v>9783839442005</v>
      </c>
      <c r="E2826" t="s">
        <v>2798</v>
      </c>
      <c r="F2826" s="1">
        <v>43282</v>
      </c>
    </row>
    <row r="2827" spans="1:6" x14ac:dyDescent="0.25">
      <c r="A2827">
        <v>6754158</v>
      </c>
      <c r="B2827" t="s">
        <v>2872</v>
      </c>
      <c r="C2827" t="str">
        <f>"9783837648621"</f>
        <v>9783837648621</v>
      </c>
      <c r="D2827" t="str">
        <f>"9783839448625"</f>
        <v>9783839448625</v>
      </c>
      <c r="E2827" t="s">
        <v>2798</v>
      </c>
      <c r="F2827" s="1">
        <v>44105</v>
      </c>
    </row>
    <row r="2828" spans="1:6" x14ac:dyDescent="0.25">
      <c r="A2828">
        <v>6754232</v>
      </c>
      <c r="B2828" t="s">
        <v>2873</v>
      </c>
      <c r="C2828" t="str">
        <f>"9783837649093"</f>
        <v>9783837649093</v>
      </c>
      <c r="D2828" t="str">
        <f>"9783839449097"</f>
        <v>9783839449097</v>
      </c>
      <c r="E2828" t="s">
        <v>2798</v>
      </c>
      <c r="F2828" s="1">
        <v>43831</v>
      </c>
    </row>
    <row r="2829" spans="1:6" x14ac:dyDescent="0.25">
      <c r="A2829">
        <v>6754286</v>
      </c>
      <c r="B2829" t="s">
        <v>2874</v>
      </c>
      <c r="C2829" t="str">
        <f>""</f>
        <v/>
      </c>
      <c r="D2829" t="str">
        <f>"9780824873998"</f>
        <v>9780824873998</v>
      </c>
      <c r="E2829" t="s">
        <v>2875</v>
      </c>
      <c r="F2829" s="1">
        <v>38384</v>
      </c>
    </row>
    <row r="2830" spans="1:6" x14ac:dyDescent="0.25">
      <c r="A2830">
        <v>6754564</v>
      </c>
      <c r="B2830" t="s">
        <v>2876</v>
      </c>
      <c r="C2830" t="str">
        <f>"9783732854332"</f>
        <v>9783732854332</v>
      </c>
      <c r="D2830" t="str">
        <f>"9783839454336"</f>
        <v>9783839454336</v>
      </c>
      <c r="E2830" t="s">
        <v>2798</v>
      </c>
      <c r="F2830" s="1">
        <v>44348</v>
      </c>
    </row>
    <row r="2831" spans="1:6" x14ac:dyDescent="0.25">
      <c r="A2831">
        <v>6754585</v>
      </c>
      <c r="B2831" t="s">
        <v>2877</v>
      </c>
      <c r="C2831" t="str">
        <f>"9783837649499"</f>
        <v>9783837649499</v>
      </c>
      <c r="D2831" t="str">
        <f>"9783839449493"</f>
        <v>9783839449493</v>
      </c>
      <c r="E2831" t="s">
        <v>2798</v>
      </c>
      <c r="F2831" s="1">
        <v>44197</v>
      </c>
    </row>
    <row r="2832" spans="1:6" x14ac:dyDescent="0.25">
      <c r="A2832">
        <v>6754848</v>
      </c>
      <c r="B2832" t="s">
        <v>2878</v>
      </c>
      <c r="C2832" t="str">
        <f>"9783837651645"</f>
        <v>9783837651645</v>
      </c>
      <c r="D2832" t="str">
        <f>"9783839451649"</f>
        <v>9783839451649</v>
      </c>
      <c r="E2832" t="s">
        <v>2798</v>
      </c>
      <c r="F2832" s="1">
        <v>43952</v>
      </c>
    </row>
    <row r="2833" spans="1:6" x14ac:dyDescent="0.25">
      <c r="A2833">
        <v>6754871</v>
      </c>
      <c r="B2833" t="s">
        <v>2879</v>
      </c>
      <c r="C2833" t="str">
        <f>"9783837655070"</f>
        <v>9783837655070</v>
      </c>
      <c r="D2833" t="str">
        <f>"9783839455074"</f>
        <v>9783839455074</v>
      </c>
      <c r="E2833" t="s">
        <v>2798</v>
      </c>
      <c r="F2833" s="1">
        <v>44348</v>
      </c>
    </row>
    <row r="2834" spans="1:6" x14ac:dyDescent="0.25">
      <c r="A2834">
        <v>6754901</v>
      </c>
      <c r="B2834" t="s">
        <v>2880</v>
      </c>
      <c r="C2834" t="str">
        <f>"9783837651904"</f>
        <v>9783837651904</v>
      </c>
      <c r="D2834" t="str">
        <f>"9783839451908"</f>
        <v>9783839451908</v>
      </c>
      <c r="E2834" t="s">
        <v>2798</v>
      </c>
      <c r="F2834" s="1">
        <v>44013</v>
      </c>
    </row>
    <row r="2835" spans="1:6" x14ac:dyDescent="0.25">
      <c r="A2835">
        <v>6754953</v>
      </c>
      <c r="B2835" t="s">
        <v>2881</v>
      </c>
      <c r="C2835" t="str">
        <f>"9783837648652"</f>
        <v>9783837648652</v>
      </c>
      <c r="D2835" t="str">
        <f>"9783839448656"</f>
        <v>9783839448656</v>
      </c>
      <c r="E2835" t="s">
        <v>2798</v>
      </c>
      <c r="F2835" s="1">
        <v>43831</v>
      </c>
    </row>
    <row r="2836" spans="1:6" x14ac:dyDescent="0.25">
      <c r="A2836">
        <v>6754966</v>
      </c>
      <c r="B2836" t="s">
        <v>2882</v>
      </c>
      <c r="C2836" t="str">
        <f>"9783732853168"</f>
        <v>9783732853168</v>
      </c>
      <c r="D2836" t="str">
        <f>"9783839453162"</f>
        <v>9783839453162</v>
      </c>
      <c r="E2836" t="s">
        <v>2798</v>
      </c>
      <c r="F2836" s="1">
        <v>44013</v>
      </c>
    </row>
    <row r="2837" spans="1:6" x14ac:dyDescent="0.25">
      <c r="A2837">
        <v>6755145</v>
      </c>
      <c r="B2837" t="s">
        <v>2883</v>
      </c>
      <c r="C2837" t="str">
        <f>"9783837656381"</f>
        <v>9783837656381</v>
      </c>
      <c r="D2837" t="str">
        <f>"9783839456385"</f>
        <v>9783839456385</v>
      </c>
      <c r="E2837" t="s">
        <v>2798</v>
      </c>
      <c r="F2837" s="1">
        <v>44228</v>
      </c>
    </row>
    <row r="2838" spans="1:6" x14ac:dyDescent="0.25">
      <c r="A2838">
        <v>6755253</v>
      </c>
      <c r="B2838" t="s">
        <v>2884</v>
      </c>
      <c r="C2838" t="str">
        <f>"9783837656961"</f>
        <v>9783837656961</v>
      </c>
      <c r="D2838" t="str">
        <f>"9783839456965"</f>
        <v>9783839456965</v>
      </c>
      <c r="E2838" t="s">
        <v>2798</v>
      </c>
      <c r="F2838" s="1">
        <v>44287</v>
      </c>
    </row>
    <row r="2839" spans="1:6" x14ac:dyDescent="0.25">
      <c r="A2839">
        <v>6755439</v>
      </c>
      <c r="B2839" t="s">
        <v>2885</v>
      </c>
      <c r="C2839" t="str">
        <f>"9783837647884"</f>
        <v>9783837647884</v>
      </c>
      <c r="D2839" t="str">
        <f>"9783839447888"</f>
        <v>9783839447888</v>
      </c>
      <c r="E2839" t="s">
        <v>2798</v>
      </c>
      <c r="F2839" s="1">
        <v>44105</v>
      </c>
    </row>
    <row r="2840" spans="1:6" x14ac:dyDescent="0.25">
      <c r="A2840">
        <v>6755449</v>
      </c>
      <c r="B2840" t="s">
        <v>2886</v>
      </c>
      <c r="C2840" t="str">
        <f>"9783732851706"</f>
        <v>9783732851706</v>
      </c>
      <c r="D2840" t="str">
        <f>"9783839451700"</f>
        <v>9783839451700</v>
      </c>
      <c r="E2840" t="s">
        <v>2798</v>
      </c>
      <c r="F2840" s="1">
        <v>43952</v>
      </c>
    </row>
    <row r="2841" spans="1:6" x14ac:dyDescent="0.25">
      <c r="A2841">
        <v>6755569</v>
      </c>
      <c r="B2841" t="s">
        <v>2887</v>
      </c>
      <c r="C2841" t="str">
        <f>"9783837656930"</f>
        <v>9783837656930</v>
      </c>
      <c r="D2841" t="str">
        <f>"9783839456934"</f>
        <v>9783839456934</v>
      </c>
      <c r="E2841" t="s">
        <v>2798</v>
      </c>
      <c r="F2841" s="1">
        <v>44317</v>
      </c>
    </row>
    <row r="2842" spans="1:6" x14ac:dyDescent="0.25">
      <c r="A2842">
        <v>6755614</v>
      </c>
      <c r="B2842" t="s">
        <v>2888</v>
      </c>
      <c r="C2842" t="str">
        <f>"9783732850679"</f>
        <v>9783732850679</v>
      </c>
      <c r="D2842" t="str">
        <f>"9783839450673"</f>
        <v>9783839450673</v>
      </c>
      <c r="E2842" t="s">
        <v>2798</v>
      </c>
      <c r="F2842" s="1">
        <v>43983</v>
      </c>
    </row>
    <row r="2843" spans="1:6" x14ac:dyDescent="0.25">
      <c r="A2843">
        <v>6755640</v>
      </c>
      <c r="B2843" t="s">
        <v>2889</v>
      </c>
      <c r="C2843" t="str">
        <f>"9783837646504"</f>
        <v>9783837646504</v>
      </c>
      <c r="D2843" t="str">
        <f>"9783839446508"</f>
        <v>9783839446508</v>
      </c>
      <c r="E2843" t="s">
        <v>2798</v>
      </c>
      <c r="F2843" s="1">
        <v>44013</v>
      </c>
    </row>
    <row r="2844" spans="1:6" x14ac:dyDescent="0.25">
      <c r="A2844">
        <v>6755689</v>
      </c>
      <c r="B2844" t="s">
        <v>2890</v>
      </c>
      <c r="C2844" t="str">
        <f>"9783837653342"</f>
        <v>9783837653342</v>
      </c>
      <c r="D2844" t="str">
        <f>"9783839453346"</f>
        <v>9783839453346</v>
      </c>
      <c r="E2844" t="s">
        <v>2798</v>
      </c>
      <c r="F2844" s="1">
        <v>44228</v>
      </c>
    </row>
    <row r="2845" spans="1:6" x14ac:dyDescent="0.25">
      <c r="A2845">
        <v>6755768</v>
      </c>
      <c r="B2845" t="s">
        <v>2891</v>
      </c>
      <c r="C2845" t="str">
        <f>"9783837658293"</f>
        <v>9783837658293</v>
      </c>
      <c r="D2845" t="str">
        <f>"9783839458297"</f>
        <v>9783839458297</v>
      </c>
      <c r="E2845" t="s">
        <v>2798</v>
      </c>
      <c r="F2845" s="1">
        <v>44348</v>
      </c>
    </row>
    <row r="2846" spans="1:6" x14ac:dyDescent="0.25">
      <c r="A2846">
        <v>6755797</v>
      </c>
      <c r="B2846" t="s">
        <v>2892</v>
      </c>
      <c r="C2846" t="str">
        <f>"9783837637625"</f>
        <v>9783837637625</v>
      </c>
      <c r="D2846" t="str">
        <f>"9783839437629"</f>
        <v>9783839437629</v>
      </c>
      <c r="E2846" t="s">
        <v>2798</v>
      </c>
      <c r="F2846" s="1">
        <v>43160</v>
      </c>
    </row>
    <row r="2847" spans="1:6" x14ac:dyDescent="0.25">
      <c r="A2847">
        <v>6755980</v>
      </c>
      <c r="B2847" t="s">
        <v>2893</v>
      </c>
      <c r="C2847" t="str">
        <f>"9783732850112"</f>
        <v>9783732850112</v>
      </c>
      <c r="D2847" t="str">
        <f>"9783839450116"</f>
        <v>9783839450116</v>
      </c>
      <c r="E2847" t="s">
        <v>2798</v>
      </c>
      <c r="F2847" s="1">
        <v>43891</v>
      </c>
    </row>
    <row r="2848" spans="1:6" x14ac:dyDescent="0.25">
      <c r="A2848">
        <v>6756044</v>
      </c>
      <c r="B2848" t="s">
        <v>2894</v>
      </c>
      <c r="C2848" t="str">
        <f>"9783837657111"</f>
        <v>9783837657111</v>
      </c>
      <c r="D2848" t="str">
        <f>"9783839457115"</f>
        <v>9783839457115</v>
      </c>
      <c r="E2848" t="s">
        <v>2798</v>
      </c>
      <c r="F2848" s="1">
        <v>44317</v>
      </c>
    </row>
    <row r="2849" spans="1:6" x14ac:dyDescent="0.25">
      <c r="A2849">
        <v>6756186</v>
      </c>
      <c r="B2849" t="s">
        <v>2895</v>
      </c>
      <c r="C2849" t="str">
        <f>"9783837652833"</f>
        <v>9783837652833</v>
      </c>
      <c r="D2849" t="str">
        <f>"9783839452837"</f>
        <v>9783839452837</v>
      </c>
      <c r="E2849" t="s">
        <v>2798</v>
      </c>
      <c r="F2849" s="1">
        <v>44105</v>
      </c>
    </row>
    <row r="2850" spans="1:6" x14ac:dyDescent="0.25">
      <c r="A2850">
        <v>6756231</v>
      </c>
      <c r="B2850" t="s">
        <v>2896</v>
      </c>
      <c r="C2850" t="str">
        <f>"9783837655643"</f>
        <v>9783837655643</v>
      </c>
      <c r="D2850" t="str">
        <f>"9783839455647"</f>
        <v>9783839455647</v>
      </c>
      <c r="E2850" t="s">
        <v>2798</v>
      </c>
      <c r="F2850" s="1">
        <v>44197</v>
      </c>
    </row>
    <row r="2851" spans="1:6" x14ac:dyDescent="0.25">
      <c r="A2851">
        <v>6756294</v>
      </c>
      <c r="B2851" t="s">
        <v>2897</v>
      </c>
      <c r="C2851" t="str">
        <f>"9783837655568"</f>
        <v>9783837655568</v>
      </c>
      <c r="D2851" t="str">
        <f>"9783839455562"</f>
        <v>9783839455562</v>
      </c>
      <c r="E2851" t="s">
        <v>2798</v>
      </c>
      <c r="F2851" s="1">
        <v>44228</v>
      </c>
    </row>
    <row r="2852" spans="1:6" x14ac:dyDescent="0.25">
      <c r="A2852">
        <v>6756325</v>
      </c>
      <c r="B2852" t="s">
        <v>2898</v>
      </c>
      <c r="C2852" t="str">
        <f>"9783837651690"</f>
        <v>9783837651690</v>
      </c>
      <c r="D2852" t="str">
        <f>"9783839451694"</f>
        <v>9783839451694</v>
      </c>
      <c r="E2852" t="s">
        <v>2798</v>
      </c>
      <c r="F2852" s="1">
        <v>44013</v>
      </c>
    </row>
    <row r="2853" spans="1:6" x14ac:dyDescent="0.25">
      <c r="A2853">
        <v>6756346</v>
      </c>
      <c r="B2853" t="s">
        <v>2899</v>
      </c>
      <c r="C2853" t="str">
        <f>"9783837642629"</f>
        <v>9783837642629</v>
      </c>
      <c r="D2853" t="str">
        <f>"9783839442623"</f>
        <v>9783839442623</v>
      </c>
      <c r="E2853" t="s">
        <v>2798</v>
      </c>
      <c r="F2853" s="1">
        <v>43160</v>
      </c>
    </row>
    <row r="2854" spans="1:6" x14ac:dyDescent="0.25">
      <c r="A2854">
        <v>6756400</v>
      </c>
      <c r="B2854" t="s">
        <v>2900</v>
      </c>
      <c r="C2854" t="str">
        <f>"9783837650020"</f>
        <v>9783837650020</v>
      </c>
      <c r="D2854" t="str">
        <f>"9783839450024"</f>
        <v>9783839450024</v>
      </c>
      <c r="E2854" t="s">
        <v>2798</v>
      </c>
      <c r="F2854" s="1">
        <v>44136</v>
      </c>
    </row>
    <row r="2855" spans="1:6" x14ac:dyDescent="0.25">
      <c r="A2855">
        <v>6756521</v>
      </c>
      <c r="B2855" t="s">
        <v>2901</v>
      </c>
      <c r="C2855" t="str">
        <f>"9783837639025"</f>
        <v>9783837639025</v>
      </c>
      <c r="D2855" t="str">
        <f>"9783839439029"</f>
        <v>9783839439029</v>
      </c>
      <c r="E2855" t="s">
        <v>2798</v>
      </c>
      <c r="F2855" s="1">
        <v>43831</v>
      </c>
    </row>
    <row r="2856" spans="1:6" x14ac:dyDescent="0.25">
      <c r="A2856">
        <v>6756617</v>
      </c>
      <c r="B2856" t="s">
        <v>2902</v>
      </c>
      <c r="C2856" t="str">
        <f>"9783837652048"</f>
        <v>9783837652048</v>
      </c>
      <c r="D2856" t="str">
        <f>"9783839452042"</f>
        <v>9783839452042</v>
      </c>
      <c r="E2856" t="s">
        <v>2798</v>
      </c>
      <c r="F2856" s="1">
        <v>43891</v>
      </c>
    </row>
    <row r="2857" spans="1:6" x14ac:dyDescent="0.25">
      <c r="A2857">
        <v>6756633</v>
      </c>
      <c r="B2857" t="s">
        <v>2903</v>
      </c>
      <c r="C2857" t="str">
        <f>"9783837651850"</f>
        <v>9783837651850</v>
      </c>
      <c r="D2857" t="str">
        <f>"9783839451854"</f>
        <v>9783839451854</v>
      </c>
      <c r="E2857" t="s">
        <v>2798</v>
      </c>
      <c r="F2857" s="1">
        <v>43922</v>
      </c>
    </row>
    <row r="2858" spans="1:6" x14ac:dyDescent="0.25">
      <c r="A2858">
        <v>6756691</v>
      </c>
      <c r="B2858" t="s">
        <v>2904</v>
      </c>
      <c r="C2858" t="str">
        <f>"9783837651744"</f>
        <v>9783837651744</v>
      </c>
      <c r="D2858" t="str">
        <f>"9783839451748"</f>
        <v>9783839451748</v>
      </c>
      <c r="E2858" t="s">
        <v>2798</v>
      </c>
      <c r="F2858" s="1">
        <v>44105</v>
      </c>
    </row>
    <row r="2859" spans="1:6" x14ac:dyDescent="0.25">
      <c r="A2859">
        <v>6756819</v>
      </c>
      <c r="B2859" t="s">
        <v>2905</v>
      </c>
      <c r="C2859" t="str">
        <f>"9783837650952"</f>
        <v>9783837650952</v>
      </c>
      <c r="D2859" t="str">
        <f>"9783839450956"</f>
        <v>9783839450956</v>
      </c>
      <c r="E2859" t="s">
        <v>2798</v>
      </c>
      <c r="F2859" s="1">
        <v>44256</v>
      </c>
    </row>
    <row r="2860" spans="1:6" x14ac:dyDescent="0.25">
      <c r="A2860">
        <v>6756927</v>
      </c>
      <c r="B2860" t="s">
        <v>2906</v>
      </c>
      <c r="C2860" t="str">
        <f>"9783837651843"</f>
        <v>9783837651843</v>
      </c>
      <c r="D2860" t="str">
        <f>"9783839451847"</f>
        <v>9783839451847</v>
      </c>
      <c r="E2860" t="s">
        <v>2798</v>
      </c>
      <c r="F2860" s="1">
        <v>43952</v>
      </c>
    </row>
    <row r="2861" spans="1:6" x14ac:dyDescent="0.25">
      <c r="A2861">
        <v>6756992</v>
      </c>
      <c r="B2861" t="s">
        <v>2907</v>
      </c>
      <c r="C2861" t="str">
        <f>"9783837657036"</f>
        <v>9783837657036</v>
      </c>
      <c r="D2861" t="str">
        <f>"9783839457030"</f>
        <v>9783839457030</v>
      </c>
      <c r="E2861" t="s">
        <v>2798</v>
      </c>
      <c r="F2861" s="1">
        <v>44287</v>
      </c>
    </row>
    <row r="2862" spans="1:6" x14ac:dyDescent="0.25">
      <c r="A2862">
        <v>6757026</v>
      </c>
      <c r="B2862" t="s">
        <v>2908</v>
      </c>
      <c r="C2862" t="str">
        <f>"9783837641523"</f>
        <v>9783837641523</v>
      </c>
      <c r="D2862" t="str">
        <f>"9783839441527"</f>
        <v>9783839441527</v>
      </c>
      <c r="E2862" t="s">
        <v>2798</v>
      </c>
      <c r="F2862" s="1">
        <v>43221</v>
      </c>
    </row>
    <row r="2863" spans="1:6" x14ac:dyDescent="0.25">
      <c r="A2863">
        <v>6757105</v>
      </c>
      <c r="B2863" t="s">
        <v>2909</v>
      </c>
      <c r="C2863" t="str">
        <f>"9783732857289"</f>
        <v>9783732857289</v>
      </c>
      <c r="D2863" t="str">
        <f>"9783839457283"</f>
        <v>9783839457283</v>
      </c>
      <c r="E2863" t="s">
        <v>2798</v>
      </c>
      <c r="F2863" s="1">
        <v>44256</v>
      </c>
    </row>
    <row r="2864" spans="1:6" x14ac:dyDescent="0.25">
      <c r="A2864">
        <v>6757124</v>
      </c>
      <c r="B2864" t="s">
        <v>2910</v>
      </c>
      <c r="C2864" t="str">
        <f>"9783837649987"</f>
        <v>9783837649987</v>
      </c>
      <c r="D2864" t="str">
        <f>"9783839449981"</f>
        <v>9783839449981</v>
      </c>
      <c r="E2864" t="s">
        <v>2798</v>
      </c>
      <c r="F2864" s="1">
        <v>44013</v>
      </c>
    </row>
    <row r="2865" spans="1:6" x14ac:dyDescent="0.25">
      <c r="A2865">
        <v>6757141</v>
      </c>
      <c r="B2865" t="s">
        <v>2911</v>
      </c>
      <c r="C2865" t="str">
        <f>"9783837645149"</f>
        <v>9783837645149</v>
      </c>
      <c r="D2865" t="str">
        <f>"9783839445143"</f>
        <v>9783839445143</v>
      </c>
      <c r="E2865" t="s">
        <v>2798</v>
      </c>
      <c r="F2865" s="1">
        <v>44013</v>
      </c>
    </row>
    <row r="2866" spans="1:6" x14ac:dyDescent="0.25">
      <c r="A2866">
        <v>6757150</v>
      </c>
      <c r="B2866" t="s">
        <v>2912</v>
      </c>
      <c r="C2866" t="str">
        <f>"9783732844296"</f>
        <v>9783732844296</v>
      </c>
      <c r="D2866" t="str">
        <f>"9783839444290"</f>
        <v>9783839444290</v>
      </c>
      <c r="E2866" t="s">
        <v>2798</v>
      </c>
      <c r="F2866" s="1">
        <v>43282</v>
      </c>
    </row>
    <row r="2867" spans="1:6" x14ac:dyDescent="0.25">
      <c r="A2867">
        <v>6757205</v>
      </c>
      <c r="B2867" t="s">
        <v>2913</v>
      </c>
      <c r="C2867" t="str">
        <f>"9783837651638"</f>
        <v>9783837651638</v>
      </c>
      <c r="D2867" t="str">
        <f>"9783839451632"</f>
        <v>9783839451632</v>
      </c>
      <c r="E2867" t="s">
        <v>2798</v>
      </c>
      <c r="F2867" s="1">
        <v>43952</v>
      </c>
    </row>
    <row r="2868" spans="1:6" x14ac:dyDescent="0.25">
      <c r="A2868">
        <v>6757352</v>
      </c>
      <c r="B2868" t="s">
        <v>2914</v>
      </c>
      <c r="C2868" t="str">
        <f>"9783837654295"</f>
        <v>9783837654295</v>
      </c>
      <c r="D2868" t="str">
        <f>"9783839454299"</f>
        <v>9783839454299</v>
      </c>
      <c r="E2868" t="s">
        <v>2798</v>
      </c>
      <c r="F2868" s="1">
        <v>44256</v>
      </c>
    </row>
    <row r="2869" spans="1:6" x14ac:dyDescent="0.25">
      <c r="A2869">
        <v>6757437</v>
      </c>
      <c r="B2869" t="s">
        <v>2915</v>
      </c>
      <c r="C2869" t="str">
        <f>"9783837642605"</f>
        <v>9783837642605</v>
      </c>
      <c r="D2869" t="str">
        <f>"9783839442609"</f>
        <v>9783839442609</v>
      </c>
      <c r="E2869" t="s">
        <v>2798</v>
      </c>
      <c r="F2869" s="1">
        <v>43282</v>
      </c>
    </row>
    <row r="2870" spans="1:6" x14ac:dyDescent="0.25">
      <c r="A2870">
        <v>6757455</v>
      </c>
      <c r="B2870" t="s">
        <v>2916</v>
      </c>
      <c r="C2870" t="str">
        <f>"9783732854226"</f>
        <v>9783732854226</v>
      </c>
      <c r="D2870" t="str">
        <f>"9783839454220"</f>
        <v>9783839454220</v>
      </c>
      <c r="E2870" t="s">
        <v>2798</v>
      </c>
      <c r="F2870" s="1">
        <v>44287</v>
      </c>
    </row>
    <row r="2871" spans="1:6" x14ac:dyDescent="0.25">
      <c r="A2871">
        <v>6757483</v>
      </c>
      <c r="B2871" t="s">
        <v>2917</v>
      </c>
      <c r="C2871" t="str">
        <f>"9783837648645"</f>
        <v>9783837648645</v>
      </c>
      <c r="D2871" t="str">
        <f>"9783839448649"</f>
        <v>9783839448649</v>
      </c>
      <c r="E2871" t="s">
        <v>2798</v>
      </c>
      <c r="F2871" s="1">
        <v>43770</v>
      </c>
    </row>
    <row r="2872" spans="1:6" x14ac:dyDescent="0.25">
      <c r="A2872">
        <v>6757556</v>
      </c>
      <c r="B2872" t="s">
        <v>2918</v>
      </c>
      <c r="C2872" t="str">
        <f>"9783837645392"</f>
        <v>9783837645392</v>
      </c>
      <c r="D2872" t="str">
        <f>"9783839445396"</f>
        <v>9783839445396</v>
      </c>
      <c r="E2872" t="s">
        <v>2798</v>
      </c>
      <c r="F2872" s="1">
        <v>43252</v>
      </c>
    </row>
    <row r="2873" spans="1:6" x14ac:dyDescent="0.25">
      <c r="A2873">
        <v>6757700</v>
      </c>
      <c r="B2873" t="s">
        <v>2919</v>
      </c>
      <c r="C2873" t="str">
        <f>"9783837650419"</f>
        <v>9783837650419</v>
      </c>
      <c r="D2873" t="str">
        <f>"9783839450413"</f>
        <v>9783839450413</v>
      </c>
      <c r="E2873" t="s">
        <v>2798</v>
      </c>
      <c r="F2873" s="1">
        <v>44013</v>
      </c>
    </row>
    <row r="2874" spans="1:6" x14ac:dyDescent="0.25">
      <c r="A2874">
        <v>6757810</v>
      </c>
      <c r="B2874" t="s">
        <v>2920</v>
      </c>
      <c r="C2874" t="str">
        <f>"9783837657845"</f>
        <v>9783837657845</v>
      </c>
      <c r="D2874" t="str">
        <f>"9783839457849"</f>
        <v>9783839457849</v>
      </c>
      <c r="E2874" t="s">
        <v>2798</v>
      </c>
      <c r="F2874" s="1">
        <v>44256</v>
      </c>
    </row>
    <row r="2875" spans="1:6" x14ac:dyDescent="0.25">
      <c r="A2875">
        <v>6758056</v>
      </c>
      <c r="B2875" t="s">
        <v>2921</v>
      </c>
      <c r="C2875" t="str">
        <f>"9783837653854"</f>
        <v>9783837653854</v>
      </c>
      <c r="D2875" t="str">
        <f>"9783839453858"</f>
        <v>9783839453858</v>
      </c>
      <c r="E2875" t="s">
        <v>2798</v>
      </c>
      <c r="F2875" s="1">
        <v>44075</v>
      </c>
    </row>
    <row r="2876" spans="1:6" x14ac:dyDescent="0.25">
      <c r="A2876">
        <v>6758082</v>
      </c>
      <c r="B2876" t="s">
        <v>2922</v>
      </c>
      <c r="C2876" t="str">
        <f>"9783837655032"</f>
        <v>9783837655032</v>
      </c>
      <c r="D2876" t="str">
        <f>"9783839455036"</f>
        <v>9783839455036</v>
      </c>
      <c r="E2876" t="s">
        <v>2798</v>
      </c>
      <c r="F2876" s="1">
        <v>44197</v>
      </c>
    </row>
    <row r="2877" spans="1:6" x14ac:dyDescent="0.25">
      <c r="A2877">
        <v>6758110</v>
      </c>
      <c r="B2877" t="s">
        <v>2923</v>
      </c>
      <c r="C2877" t="str">
        <f>"9783837658354"</f>
        <v>9783837658354</v>
      </c>
      <c r="D2877" t="str">
        <f>"9783839458358"</f>
        <v>9783839458358</v>
      </c>
      <c r="E2877" t="s">
        <v>2798</v>
      </c>
      <c r="F2877" s="1">
        <v>44348</v>
      </c>
    </row>
    <row r="2878" spans="1:6" x14ac:dyDescent="0.25">
      <c r="A2878">
        <v>6758211</v>
      </c>
      <c r="B2878" t="s">
        <v>2924</v>
      </c>
      <c r="C2878" t="str">
        <f>"9783837653267"</f>
        <v>9783837653267</v>
      </c>
      <c r="D2878" t="str">
        <f>"9783839453261"</f>
        <v>9783839453261</v>
      </c>
      <c r="E2878" t="s">
        <v>2798</v>
      </c>
      <c r="F2878" s="1">
        <v>44228</v>
      </c>
    </row>
    <row r="2879" spans="1:6" x14ac:dyDescent="0.25">
      <c r="A2879">
        <v>6758358</v>
      </c>
      <c r="B2879" t="s">
        <v>2925</v>
      </c>
      <c r="C2879" t="str">
        <f>"9783837650211"</f>
        <v>9783837650211</v>
      </c>
      <c r="D2879" t="str">
        <f>"9783839450215"</f>
        <v>9783839450215</v>
      </c>
      <c r="E2879" t="s">
        <v>2798</v>
      </c>
      <c r="F2879" s="1">
        <v>44013</v>
      </c>
    </row>
    <row r="2880" spans="1:6" x14ac:dyDescent="0.25">
      <c r="A2880">
        <v>6758369</v>
      </c>
      <c r="B2880" t="s">
        <v>2926</v>
      </c>
      <c r="C2880" t="str">
        <f>"9783837649963"</f>
        <v>9783837649963</v>
      </c>
      <c r="D2880" t="str">
        <f>"9783839449967"</f>
        <v>9783839449967</v>
      </c>
      <c r="E2880" t="s">
        <v>2798</v>
      </c>
      <c r="F2880" s="1">
        <v>43800</v>
      </c>
    </row>
    <row r="2881" spans="1:6" x14ac:dyDescent="0.25">
      <c r="A2881">
        <v>6758390</v>
      </c>
      <c r="B2881" t="s">
        <v>2927</v>
      </c>
      <c r="C2881" t="str">
        <f>"9783732852710"</f>
        <v>9783732852710</v>
      </c>
      <c r="D2881" t="str">
        <f>"9783839452714"</f>
        <v>9783839452714</v>
      </c>
      <c r="E2881" t="s">
        <v>2798</v>
      </c>
      <c r="F2881" s="1">
        <v>44075</v>
      </c>
    </row>
    <row r="2882" spans="1:6" x14ac:dyDescent="0.25">
      <c r="A2882">
        <v>6758570</v>
      </c>
      <c r="B2882" t="s">
        <v>2928</v>
      </c>
      <c r="C2882" t="str">
        <f>"9783837655872"</f>
        <v>9783837655872</v>
      </c>
      <c r="D2882" t="str">
        <f>"9783839455876"</f>
        <v>9783839455876</v>
      </c>
      <c r="E2882" t="s">
        <v>2798</v>
      </c>
      <c r="F2882" s="1">
        <v>44256</v>
      </c>
    </row>
    <row r="2883" spans="1:6" x14ac:dyDescent="0.25">
      <c r="A2883">
        <v>6758605</v>
      </c>
      <c r="B2883" t="s">
        <v>2929</v>
      </c>
      <c r="C2883" t="str">
        <f>"9783837658491"</f>
        <v>9783837658491</v>
      </c>
      <c r="D2883" t="str">
        <f>"9783839458495"</f>
        <v>9783839458495</v>
      </c>
      <c r="E2883" t="s">
        <v>2798</v>
      </c>
      <c r="F2883" s="1">
        <v>44348</v>
      </c>
    </row>
    <row r="2884" spans="1:6" x14ac:dyDescent="0.25">
      <c r="A2884">
        <v>6758629</v>
      </c>
      <c r="B2884" t="s">
        <v>2930</v>
      </c>
      <c r="C2884" t="str">
        <f>"9783732854790"</f>
        <v>9783732854790</v>
      </c>
      <c r="D2884" t="str">
        <f>"9783839454794"</f>
        <v>9783839454794</v>
      </c>
      <c r="E2884" t="s">
        <v>2798</v>
      </c>
      <c r="F2884" s="1">
        <v>44287</v>
      </c>
    </row>
    <row r="2885" spans="1:6" x14ac:dyDescent="0.25">
      <c r="A2885">
        <v>6758648</v>
      </c>
      <c r="B2885" t="s">
        <v>2931</v>
      </c>
      <c r="C2885" t="str">
        <f>"9783837648874"</f>
        <v>9783837648874</v>
      </c>
      <c r="D2885" t="str">
        <f>"9783839448878"</f>
        <v>9783839448878</v>
      </c>
      <c r="E2885" t="s">
        <v>2798</v>
      </c>
      <c r="F2885" s="1">
        <v>43739</v>
      </c>
    </row>
    <row r="2886" spans="1:6" x14ac:dyDescent="0.25">
      <c r="A2886">
        <v>6758667</v>
      </c>
      <c r="B2886" t="s">
        <v>2932</v>
      </c>
      <c r="C2886" t="str">
        <f>"9783837651324"</f>
        <v>9783837651324</v>
      </c>
      <c r="D2886" t="str">
        <f>"9783839451328"</f>
        <v>9783839451328</v>
      </c>
      <c r="E2886" t="s">
        <v>2798</v>
      </c>
      <c r="F2886" s="1">
        <v>43862</v>
      </c>
    </row>
    <row r="2887" spans="1:6" x14ac:dyDescent="0.25">
      <c r="A2887">
        <v>6758708</v>
      </c>
      <c r="B2887" t="s">
        <v>2933</v>
      </c>
      <c r="C2887" t="str">
        <f>"9783837653748"</f>
        <v>9783837653748</v>
      </c>
      <c r="D2887" t="str">
        <f>"9783839453742"</f>
        <v>9783839453742</v>
      </c>
      <c r="E2887" t="s">
        <v>2798</v>
      </c>
      <c r="F2887" s="1">
        <v>44075</v>
      </c>
    </row>
    <row r="2888" spans="1:6" x14ac:dyDescent="0.25">
      <c r="A2888">
        <v>6758905</v>
      </c>
      <c r="B2888" t="s">
        <v>2934</v>
      </c>
      <c r="C2888" t="str">
        <f>"9783837655674"</f>
        <v>9783837655674</v>
      </c>
      <c r="D2888" t="str">
        <f>"9783839455678"</f>
        <v>9783839455678</v>
      </c>
      <c r="E2888" t="s">
        <v>2798</v>
      </c>
      <c r="F2888" s="1">
        <v>44287</v>
      </c>
    </row>
    <row r="2889" spans="1:6" x14ac:dyDescent="0.25">
      <c r="A2889">
        <v>6759008</v>
      </c>
      <c r="B2889" t="s">
        <v>2935</v>
      </c>
      <c r="C2889" t="str">
        <f>"9783837657616"</f>
        <v>9783837657616</v>
      </c>
      <c r="D2889" t="str">
        <f>"9783839457610"</f>
        <v>9783839457610</v>
      </c>
      <c r="E2889" t="s">
        <v>2798</v>
      </c>
      <c r="F2889" s="1">
        <v>44287</v>
      </c>
    </row>
    <row r="2890" spans="1:6" x14ac:dyDescent="0.25">
      <c r="A2890">
        <v>6759045</v>
      </c>
      <c r="B2890" t="s">
        <v>2936</v>
      </c>
      <c r="C2890" t="str">
        <f>"9783837647808"</f>
        <v>9783837647808</v>
      </c>
      <c r="D2890" t="str">
        <f>"9783839447802"</f>
        <v>9783839447802</v>
      </c>
      <c r="E2890" t="s">
        <v>2798</v>
      </c>
      <c r="F2890" s="1">
        <v>44013</v>
      </c>
    </row>
    <row r="2891" spans="1:6" x14ac:dyDescent="0.25">
      <c r="A2891">
        <v>6759141</v>
      </c>
      <c r="B2891" t="s">
        <v>2937</v>
      </c>
      <c r="C2891" t="str">
        <f>"9783837650181"</f>
        <v>9783837650181</v>
      </c>
      <c r="D2891" t="str">
        <f>"9783839450185"</f>
        <v>9783839450185</v>
      </c>
      <c r="E2891" t="s">
        <v>2798</v>
      </c>
      <c r="F2891" s="1">
        <v>44105</v>
      </c>
    </row>
    <row r="2892" spans="1:6" x14ac:dyDescent="0.25">
      <c r="A2892">
        <v>6759152</v>
      </c>
      <c r="B2892" t="s">
        <v>2938</v>
      </c>
      <c r="C2892" t="str">
        <f>"9783837637830"</f>
        <v>9783837637830</v>
      </c>
      <c r="D2892" t="str">
        <f>"9783839437834"</f>
        <v>9783839437834</v>
      </c>
      <c r="E2892" t="s">
        <v>2798</v>
      </c>
      <c r="F2892" s="1">
        <v>43101</v>
      </c>
    </row>
    <row r="2893" spans="1:6" x14ac:dyDescent="0.25">
      <c r="A2893">
        <v>6759167</v>
      </c>
      <c r="B2893" t="s">
        <v>2939</v>
      </c>
      <c r="C2893" t="str">
        <f>"9783837638059"</f>
        <v>9783837638059</v>
      </c>
      <c r="D2893" t="str">
        <f>"9783839438053"</f>
        <v>9783839438053</v>
      </c>
      <c r="E2893" t="s">
        <v>2798</v>
      </c>
      <c r="F2893" s="1">
        <v>43160</v>
      </c>
    </row>
    <row r="2894" spans="1:6" x14ac:dyDescent="0.25">
      <c r="A2894">
        <v>6759224</v>
      </c>
      <c r="B2894" t="s">
        <v>2940</v>
      </c>
      <c r="C2894" t="str">
        <f>"9783837651089"</f>
        <v>9783837651089</v>
      </c>
      <c r="D2894" t="str">
        <f>"9783839451083"</f>
        <v>9783839451083</v>
      </c>
      <c r="E2894" t="s">
        <v>2798</v>
      </c>
      <c r="F2894" s="1">
        <v>44166</v>
      </c>
    </row>
    <row r="2895" spans="1:6" x14ac:dyDescent="0.25">
      <c r="A2895">
        <v>6759252</v>
      </c>
      <c r="B2895" t="s">
        <v>2941</v>
      </c>
      <c r="C2895" t="str">
        <f>"9783837647518"</f>
        <v>9783837647518</v>
      </c>
      <c r="D2895" t="str">
        <f>"9783839447512"</f>
        <v>9783839447512</v>
      </c>
      <c r="E2895" t="s">
        <v>2798</v>
      </c>
      <c r="F2895" s="1">
        <v>44166</v>
      </c>
    </row>
    <row r="2896" spans="1:6" x14ac:dyDescent="0.25">
      <c r="A2896">
        <v>6759309</v>
      </c>
      <c r="B2896" t="s">
        <v>2942</v>
      </c>
      <c r="C2896" t="str">
        <f>"9783837639162"</f>
        <v>9783837639162</v>
      </c>
      <c r="D2896" t="str">
        <f>"9783839439166"</f>
        <v>9783839439166</v>
      </c>
      <c r="E2896" t="s">
        <v>2798</v>
      </c>
      <c r="F2896" s="1">
        <v>43313</v>
      </c>
    </row>
    <row r="2897" spans="1:6" x14ac:dyDescent="0.25">
      <c r="A2897">
        <v>6759373</v>
      </c>
      <c r="B2897" t="s">
        <v>2943</v>
      </c>
      <c r="C2897" t="str">
        <f>"9783837647730"</f>
        <v>9783837647730</v>
      </c>
      <c r="D2897" t="str">
        <f>"9783839447734"</f>
        <v>9783839447734</v>
      </c>
      <c r="E2897" t="s">
        <v>2798</v>
      </c>
      <c r="F2897" s="1">
        <v>44256</v>
      </c>
    </row>
    <row r="2898" spans="1:6" x14ac:dyDescent="0.25">
      <c r="A2898">
        <v>6759487</v>
      </c>
      <c r="B2898" t="s">
        <v>2944</v>
      </c>
      <c r="C2898" t="str">
        <f>"9783732851768"</f>
        <v>9783732851768</v>
      </c>
      <c r="D2898" t="str">
        <f>"9783839451762"</f>
        <v>9783839451762</v>
      </c>
      <c r="E2898" t="s">
        <v>2798</v>
      </c>
      <c r="F2898" s="1">
        <v>43922</v>
      </c>
    </row>
    <row r="2899" spans="1:6" x14ac:dyDescent="0.25">
      <c r="A2899">
        <v>6759671</v>
      </c>
      <c r="B2899" t="s">
        <v>2945</v>
      </c>
      <c r="C2899" t="str">
        <f>"9783837657678"</f>
        <v>9783837657678</v>
      </c>
      <c r="D2899" t="str">
        <f>"9783839457672"</f>
        <v>9783839457672</v>
      </c>
      <c r="E2899" t="s">
        <v>2798</v>
      </c>
      <c r="F2899" s="1">
        <v>44287</v>
      </c>
    </row>
    <row r="2900" spans="1:6" x14ac:dyDescent="0.25">
      <c r="A2900">
        <v>6759774</v>
      </c>
      <c r="B2900" t="s">
        <v>2946</v>
      </c>
      <c r="C2900" t="str">
        <f>"9783837653694"</f>
        <v>9783837653694</v>
      </c>
      <c r="D2900" t="str">
        <f>"9783839453698"</f>
        <v>9783839453698</v>
      </c>
      <c r="E2900" t="s">
        <v>2798</v>
      </c>
      <c r="F2900" s="1">
        <v>44105</v>
      </c>
    </row>
    <row r="2901" spans="1:6" x14ac:dyDescent="0.25">
      <c r="A2901">
        <v>6759811</v>
      </c>
      <c r="B2901" t="s">
        <v>2947</v>
      </c>
      <c r="C2901" t="str">
        <f>"9783837647259"</f>
        <v>9783837647259</v>
      </c>
      <c r="D2901" t="str">
        <f>"9783839447253"</f>
        <v>9783839447253</v>
      </c>
      <c r="E2901" t="s">
        <v>2798</v>
      </c>
      <c r="F2901" s="1">
        <v>43831</v>
      </c>
    </row>
    <row r="2902" spans="1:6" x14ac:dyDescent="0.25">
      <c r="A2902">
        <v>6759838</v>
      </c>
      <c r="B2902" t="s">
        <v>2948</v>
      </c>
      <c r="C2902" t="str">
        <f>"9783837656510"</f>
        <v>9783837656510</v>
      </c>
      <c r="D2902" t="str">
        <f>"9783839456514"</f>
        <v>9783839456514</v>
      </c>
      <c r="E2902" t="s">
        <v>2798</v>
      </c>
      <c r="F2902" s="1">
        <v>44287</v>
      </c>
    </row>
    <row r="2903" spans="1:6" x14ac:dyDescent="0.25">
      <c r="A2903">
        <v>6759844</v>
      </c>
      <c r="B2903" t="s">
        <v>2949</v>
      </c>
      <c r="C2903" t="str">
        <f>"9783837643282"</f>
        <v>9783837643282</v>
      </c>
      <c r="D2903" t="str">
        <f>"9783839443286"</f>
        <v>9783839443286</v>
      </c>
      <c r="E2903" t="s">
        <v>2798</v>
      </c>
      <c r="F2903" s="1">
        <v>43313</v>
      </c>
    </row>
    <row r="2904" spans="1:6" x14ac:dyDescent="0.25">
      <c r="A2904">
        <v>6759891</v>
      </c>
      <c r="B2904" t="s">
        <v>2950</v>
      </c>
      <c r="C2904" t="str">
        <f>"9783837655896"</f>
        <v>9783837655896</v>
      </c>
      <c r="D2904" t="str">
        <f>"9783839455890"</f>
        <v>9783839455890</v>
      </c>
      <c r="E2904" t="s">
        <v>2798</v>
      </c>
      <c r="F2904" s="1">
        <v>44197</v>
      </c>
    </row>
    <row r="2905" spans="1:6" x14ac:dyDescent="0.25">
      <c r="A2905">
        <v>6759898</v>
      </c>
      <c r="B2905" t="s">
        <v>2951</v>
      </c>
      <c r="C2905" t="str">
        <f>"9783732839230"</f>
        <v>9783732839230</v>
      </c>
      <c r="D2905" t="str">
        <f>"9783839439234"</f>
        <v>9783839439234</v>
      </c>
      <c r="E2905" t="s">
        <v>2798</v>
      </c>
      <c r="F2905" s="1">
        <v>43160</v>
      </c>
    </row>
    <row r="2906" spans="1:6" x14ac:dyDescent="0.25">
      <c r="A2906">
        <v>6759904</v>
      </c>
      <c r="B2906" t="s">
        <v>2952</v>
      </c>
      <c r="C2906" t="str">
        <f>"9783732845507"</f>
        <v>9783732845507</v>
      </c>
      <c r="D2906" t="str">
        <f>"9783839445501"</f>
        <v>9783839445501</v>
      </c>
      <c r="E2906" t="s">
        <v>2798</v>
      </c>
      <c r="F2906" s="1">
        <v>44317</v>
      </c>
    </row>
    <row r="2907" spans="1:6" x14ac:dyDescent="0.25">
      <c r="A2907">
        <v>6759913</v>
      </c>
      <c r="B2907" t="s">
        <v>2851</v>
      </c>
      <c r="C2907" t="str">
        <f>"9783837651997"</f>
        <v>9783837651997</v>
      </c>
      <c r="D2907" t="str">
        <f>"9783839451991"</f>
        <v>9783839451991</v>
      </c>
      <c r="E2907" t="s">
        <v>2798</v>
      </c>
      <c r="F2907" s="1">
        <v>44256</v>
      </c>
    </row>
    <row r="2908" spans="1:6" x14ac:dyDescent="0.25">
      <c r="A2908">
        <v>6759940</v>
      </c>
      <c r="B2908" t="s">
        <v>2953</v>
      </c>
      <c r="C2908" t="str">
        <f>"9783837651652"</f>
        <v>9783837651652</v>
      </c>
      <c r="D2908" t="str">
        <f>"9783839451656"</f>
        <v>9783839451656</v>
      </c>
      <c r="E2908" t="s">
        <v>2798</v>
      </c>
      <c r="F2908" s="1">
        <v>43983</v>
      </c>
    </row>
    <row r="2909" spans="1:6" x14ac:dyDescent="0.25">
      <c r="A2909">
        <v>6759952</v>
      </c>
      <c r="B2909" t="s">
        <v>2954</v>
      </c>
      <c r="C2909" t="str">
        <f>"9783837655308"</f>
        <v>9783837655308</v>
      </c>
      <c r="D2909" t="str">
        <f>"9783839455302"</f>
        <v>9783839455302</v>
      </c>
      <c r="E2909" t="s">
        <v>2798</v>
      </c>
      <c r="F2909" s="1">
        <v>44197</v>
      </c>
    </row>
    <row r="2910" spans="1:6" x14ac:dyDescent="0.25">
      <c r="A2910">
        <v>6760045</v>
      </c>
      <c r="B2910" t="s">
        <v>2955</v>
      </c>
      <c r="C2910" t="str">
        <f>"9783732851836"</f>
        <v>9783732851836</v>
      </c>
      <c r="D2910" t="str">
        <f>"9783839451830"</f>
        <v>9783839451830</v>
      </c>
      <c r="E2910" t="s">
        <v>2798</v>
      </c>
      <c r="F2910" s="1">
        <v>43891</v>
      </c>
    </row>
    <row r="2911" spans="1:6" x14ac:dyDescent="0.25">
      <c r="A2911">
        <v>6760093</v>
      </c>
      <c r="B2911" t="s">
        <v>2956</v>
      </c>
      <c r="C2911" t="str">
        <f>"9783837654240"</f>
        <v>9783837654240</v>
      </c>
      <c r="D2911" t="str">
        <f>"9783839454244"</f>
        <v>9783839454244</v>
      </c>
      <c r="E2911" t="s">
        <v>2798</v>
      </c>
      <c r="F2911" s="1">
        <v>44197</v>
      </c>
    </row>
    <row r="2912" spans="1:6" x14ac:dyDescent="0.25">
      <c r="A2912">
        <v>6760129</v>
      </c>
      <c r="B2912" t="s">
        <v>2957</v>
      </c>
      <c r="C2912" t="str">
        <f>"9783732853151"</f>
        <v>9783732853151</v>
      </c>
      <c r="D2912" t="str">
        <f>"9783839453155"</f>
        <v>9783839453155</v>
      </c>
      <c r="E2912" t="s">
        <v>2798</v>
      </c>
      <c r="F2912" s="1">
        <v>44197</v>
      </c>
    </row>
    <row r="2913" spans="1:6" x14ac:dyDescent="0.25">
      <c r="A2913">
        <v>6760392</v>
      </c>
      <c r="B2913" t="s">
        <v>2958</v>
      </c>
      <c r="C2913" t="str">
        <f>"9783837651713"</f>
        <v>9783837651713</v>
      </c>
      <c r="D2913" t="str">
        <f>"9783839451717"</f>
        <v>9783839451717</v>
      </c>
      <c r="E2913" t="s">
        <v>2798</v>
      </c>
      <c r="F2913" s="1">
        <v>44013</v>
      </c>
    </row>
    <row r="2914" spans="1:6" x14ac:dyDescent="0.25">
      <c r="A2914">
        <v>6760501</v>
      </c>
      <c r="B2914" t="s">
        <v>2959</v>
      </c>
      <c r="C2914" t="str">
        <f>"9783732850693"</f>
        <v>9783732850693</v>
      </c>
      <c r="D2914" t="str">
        <f>"9783839450697"</f>
        <v>9783839450697</v>
      </c>
      <c r="E2914" t="s">
        <v>2798</v>
      </c>
      <c r="F2914" s="1">
        <v>44075</v>
      </c>
    </row>
    <row r="2915" spans="1:6" x14ac:dyDescent="0.25">
      <c r="A2915">
        <v>6760536</v>
      </c>
      <c r="B2915" t="s">
        <v>2960</v>
      </c>
      <c r="C2915" t="str">
        <f>"9783837641325"</f>
        <v>9783837641325</v>
      </c>
      <c r="D2915" t="str">
        <f>"9783839441329"</f>
        <v>9783839441329</v>
      </c>
      <c r="E2915" t="s">
        <v>2798</v>
      </c>
      <c r="F2915" s="1">
        <v>43405</v>
      </c>
    </row>
    <row r="2916" spans="1:6" x14ac:dyDescent="0.25">
      <c r="A2916">
        <v>6760607</v>
      </c>
      <c r="B2916" t="s">
        <v>2961</v>
      </c>
      <c r="C2916" t="str">
        <f>"9783732851683"</f>
        <v>9783732851683</v>
      </c>
      <c r="D2916" t="str">
        <f>"9783839451687"</f>
        <v>9783839451687</v>
      </c>
      <c r="E2916" t="s">
        <v>2798</v>
      </c>
      <c r="F2916" s="1">
        <v>43922</v>
      </c>
    </row>
    <row r="2917" spans="1:6" x14ac:dyDescent="0.25">
      <c r="A2917">
        <v>6760727</v>
      </c>
      <c r="B2917" t="s">
        <v>2962</v>
      </c>
      <c r="C2917" t="str">
        <f>"9783837657388"</f>
        <v>9783837657388</v>
      </c>
      <c r="D2917" t="str">
        <f>"9783839457382"</f>
        <v>9783839457382</v>
      </c>
      <c r="E2917" t="s">
        <v>2798</v>
      </c>
      <c r="F2917" s="1">
        <v>44228</v>
      </c>
    </row>
    <row r="2918" spans="1:6" x14ac:dyDescent="0.25">
      <c r="A2918">
        <v>6760825</v>
      </c>
      <c r="B2918" t="s">
        <v>2963</v>
      </c>
      <c r="C2918" t="str">
        <f>"9783837644852"</f>
        <v>9783837644852</v>
      </c>
      <c r="D2918" t="str">
        <f>"9783839444856"</f>
        <v>9783839444856</v>
      </c>
      <c r="E2918" t="s">
        <v>2798</v>
      </c>
      <c r="F2918" s="1">
        <v>43831</v>
      </c>
    </row>
    <row r="2919" spans="1:6" x14ac:dyDescent="0.25">
      <c r="A2919">
        <v>6760887</v>
      </c>
      <c r="B2919" t="s">
        <v>2964</v>
      </c>
      <c r="C2919" t="str">
        <f>"9783732853106"</f>
        <v>9783732853106</v>
      </c>
      <c r="D2919" t="str">
        <f>"9783839453100"</f>
        <v>9783839453100</v>
      </c>
      <c r="E2919" t="s">
        <v>2798</v>
      </c>
      <c r="F2919" s="1">
        <v>44013</v>
      </c>
    </row>
    <row r="2920" spans="1:6" x14ac:dyDescent="0.25">
      <c r="A2920">
        <v>6760913</v>
      </c>
      <c r="B2920" t="s">
        <v>2965</v>
      </c>
      <c r="C2920" t="str">
        <f>"9783837651515"</f>
        <v>9783837651515</v>
      </c>
      <c r="D2920" t="str">
        <f>"9783839451519"</f>
        <v>9783839451519</v>
      </c>
      <c r="E2920" t="s">
        <v>2798</v>
      </c>
      <c r="F2920" s="1">
        <v>43922</v>
      </c>
    </row>
    <row r="2921" spans="1:6" x14ac:dyDescent="0.25">
      <c r="A2921">
        <v>6760966</v>
      </c>
      <c r="B2921" t="s">
        <v>2966</v>
      </c>
      <c r="C2921" t="str">
        <f>"9783837641332"</f>
        <v>9783837641332</v>
      </c>
      <c r="D2921" t="str">
        <f>"9783839441336"</f>
        <v>9783839441336</v>
      </c>
      <c r="E2921" t="s">
        <v>2798</v>
      </c>
      <c r="F2921" s="1">
        <v>43374</v>
      </c>
    </row>
    <row r="2922" spans="1:6" x14ac:dyDescent="0.25">
      <c r="A2922">
        <v>6761145</v>
      </c>
      <c r="B2922" t="s">
        <v>2967</v>
      </c>
      <c r="C2922" t="str">
        <f>"9783732850808"</f>
        <v>9783732850808</v>
      </c>
      <c r="D2922" t="str">
        <f>"9783839450802"</f>
        <v>9783839450802</v>
      </c>
      <c r="E2922" t="s">
        <v>2798</v>
      </c>
      <c r="F2922" s="1">
        <v>44317</v>
      </c>
    </row>
    <row r="2923" spans="1:6" x14ac:dyDescent="0.25">
      <c r="A2923">
        <v>6761192</v>
      </c>
      <c r="B2923" t="s">
        <v>2968</v>
      </c>
      <c r="C2923" t="str">
        <f>"9783837655322"</f>
        <v>9783837655322</v>
      </c>
      <c r="D2923" t="str">
        <f>"9783839455326"</f>
        <v>9783839455326</v>
      </c>
      <c r="E2923" t="s">
        <v>2798</v>
      </c>
      <c r="F2923" s="1">
        <v>44256</v>
      </c>
    </row>
    <row r="2924" spans="1:6" x14ac:dyDescent="0.25">
      <c r="A2924">
        <v>6761369</v>
      </c>
      <c r="B2924" t="s">
        <v>2969</v>
      </c>
      <c r="C2924" t="str">
        <f>"9783732850686"</f>
        <v>9783732850686</v>
      </c>
      <c r="D2924" t="str">
        <f>"9783839450680"</f>
        <v>9783839450680</v>
      </c>
      <c r="E2924" t="s">
        <v>2798</v>
      </c>
      <c r="F2924" s="1">
        <v>43891</v>
      </c>
    </row>
    <row r="2925" spans="1:6" x14ac:dyDescent="0.25">
      <c r="A2925">
        <v>6761397</v>
      </c>
      <c r="B2925" t="s">
        <v>2970</v>
      </c>
      <c r="C2925" t="str">
        <f>"9783732848881"</f>
        <v>9783732848881</v>
      </c>
      <c r="D2925" t="str">
        <f>"9783839448885"</f>
        <v>9783839448885</v>
      </c>
      <c r="E2925" t="s">
        <v>2798</v>
      </c>
      <c r="F2925" s="1">
        <v>43862</v>
      </c>
    </row>
    <row r="2926" spans="1:6" x14ac:dyDescent="0.25">
      <c r="A2926">
        <v>6761415</v>
      </c>
      <c r="B2926" t="s">
        <v>2971</v>
      </c>
      <c r="C2926" t="str">
        <f>"9783732854141"</f>
        <v>9783732854141</v>
      </c>
      <c r="D2926" t="str">
        <f>"9783839454145"</f>
        <v>9783839454145</v>
      </c>
      <c r="E2926" t="s">
        <v>2798</v>
      </c>
      <c r="F2926" s="1">
        <v>44228</v>
      </c>
    </row>
    <row r="2927" spans="1:6" x14ac:dyDescent="0.25">
      <c r="A2927">
        <v>6761564</v>
      </c>
      <c r="B2927" t="s">
        <v>2972</v>
      </c>
      <c r="C2927" t="str">
        <f>"9783837653755"</f>
        <v>9783837653755</v>
      </c>
      <c r="D2927" t="str">
        <f>"9783839453759"</f>
        <v>9783839453759</v>
      </c>
      <c r="E2927" t="s">
        <v>2798</v>
      </c>
      <c r="F2927" s="1">
        <v>44105</v>
      </c>
    </row>
    <row r="2928" spans="1:6" x14ac:dyDescent="0.25">
      <c r="A2928">
        <v>6761621</v>
      </c>
      <c r="B2928" t="s">
        <v>2973</v>
      </c>
      <c r="C2928" t="str">
        <f>""</f>
        <v/>
      </c>
      <c r="D2928" t="str">
        <f>"9783839445198"</f>
        <v>9783839445198</v>
      </c>
      <c r="E2928" t="s">
        <v>2494</v>
      </c>
      <c r="F2928" s="1">
        <v>43774</v>
      </c>
    </row>
    <row r="2929" spans="1:6" x14ac:dyDescent="0.25">
      <c r="A2929">
        <v>6761697</v>
      </c>
      <c r="B2929" t="s">
        <v>2974</v>
      </c>
      <c r="C2929" t="str">
        <f>"9783837656688"</f>
        <v>9783837656688</v>
      </c>
      <c r="D2929" t="str">
        <f>"9783839456682"</f>
        <v>9783839456682</v>
      </c>
      <c r="E2929" t="s">
        <v>2798</v>
      </c>
      <c r="F2929" s="1">
        <v>44317</v>
      </c>
    </row>
    <row r="2930" spans="1:6" x14ac:dyDescent="0.25">
      <c r="A2930">
        <v>6761723</v>
      </c>
      <c r="B2930" t="s">
        <v>2975</v>
      </c>
      <c r="C2930" t="str">
        <f>"9783837650488"</f>
        <v>9783837650488</v>
      </c>
      <c r="D2930" t="str">
        <f>"9783839450482"</f>
        <v>9783839450482</v>
      </c>
      <c r="E2930" t="s">
        <v>2798</v>
      </c>
      <c r="F2930" s="1">
        <v>43922</v>
      </c>
    </row>
    <row r="2931" spans="1:6" x14ac:dyDescent="0.25">
      <c r="A2931">
        <v>6761744</v>
      </c>
      <c r="B2931" t="s">
        <v>2976</v>
      </c>
      <c r="C2931" t="str">
        <f>"9783837657852"</f>
        <v>9783837657852</v>
      </c>
      <c r="D2931" t="str">
        <f>"9783839457856"</f>
        <v>9783839457856</v>
      </c>
      <c r="E2931" t="s">
        <v>2798</v>
      </c>
      <c r="F2931" s="1">
        <v>44256</v>
      </c>
    </row>
    <row r="2932" spans="1:6" x14ac:dyDescent="0.25">
      <c r="A2932">
        <v>6761794</v>
      </c>
      <c r="B2932" t="s">
        <v>2977</v>
      </c>
      <c r="C2932" t="str">
        <f>"9783837654851"</f>
        <v>9783837654851</v>
      </c>
      <c r="D2932" t="str">
        <f>"9783839454855"</f>
        <v>9783839454855</v>
      </c>
      <c r="E2932" t="s">
        <v>2798</v>
      </c>
      <c r="F2932" s="1">
        <v>44256</v>
      </c>
    </row>
    <row r="2933" spans="1:6" x14ac:dyDescent="0.25">
      <c r="A2933">
        <v>6761900</v>
      </c>
      <c r="B2933" t="s">
        <v>2978</v>
      </c>
      <c r="C2933" t="str">
        <f>"9783837648744"</f>
        <v>9783837648744</v>
      </c>
      <c r="D2933" t="str">
        <f>"9783839448748"</f>
        <v>9783839448748</v>
      </c>
      <c r="E2933" t="s">
        <v>2798</v>
      </c>
      <c r="F2933" s="1">
        <v>44013</v>
      </c>
    </row>
    <row r="2934" spans="1:6" x14ac:dyDescent="0.25">
      <c r="A2934">
        <v>6761923</v>
      </c>
      <c r="B2934" t="s">
        <v>2979</v>
      </c>
      <c r="C2934" t="str">
        <f>"9783837642162"</f>
        <v>9783837642162</v>
      </c>
      <c r="D2934" t="str">
        <f>"9783839442166"</f>
        <v>9783839442166</v>
      </c>
      <c r="E2934" t="s">
        <v>2798</v>
      </c>
      <c r="F2934" s="1">
        <v>43191</v>
      </c>
    </row>
    <row r="2935" spans="1:6" x14ac:dyDescent="0.25">
      <c r="A2935">
        <v>6761967</v>
      </c>
      <c r="B2935" t="s">
        <v>2980</v>
      </c>
      <c r="C2935" t="str">
        <f>"9783837651263"</f>
        <v>9783837651263</v>
      </c>
      <c r="D2935" t="str">
        <f>"9783839451267"</f>
        <v>9783839451267</v>
      </c>
      <c r="E2935" t="s">
        <v>2798</v>
      </c>
      <c r="F2935" s="1">
        <v>44256</v>
      </c>
    </row>
    <row r="2936" spans="1:6" x14ac:dyDescent="0.25">
      <c r="A2936">
        <v>6761990</v>
      </c>
      <c r="B2936" t="s">
        <v>2981</v>
      </c>
      <c r="C2936" t="str">
        <f>"9783837653816"</f>
        <v>9783837653816</v>
      </c>
      <c r="D2936" t="str">
        <f>"9783839453810"</f>
        <v>9783839453810</v>
      </c>
      <c r="E2936" t="s">
        <v>2798</v>
      </c>
      <c r="F2936" s="1">
        <v>43983</v>
      </c>
    </row>
    <row r="2937" spans="1:6" x14ac:dyDescent="0.25">
      <c r="A2937">
        <v>6762011</v>
      </c>
      <c r="B2937" t="s">
        <v>2982</v>
      </c>
      <c r="C2937" t="str">
        <f>"9783837651164"</f>
        <v>9783837651164</v>
      </c>
      <c r="D2937" t="str">
        <f>"9783839451168"</f>
        <v>9783839451168</v>
      </c>
      <c r="E2937" t="s">
        <v>2798</v>
      </c>
      <c r="F2937" s="1">
        <v>43891</v>
      </c>
    </row>
    <row r="2938" spans="1:6" x14ac:dyDescent="0.25">
      <c r="A2938">
        <v>6762098</v>
      </c>
      <c r="B2938" t="s">
        <v>2983</v>
      </c>
      <c r="C2938" t="str">
        <f>"9783732853762"</f>
        <v>9783732853762</v>
      </c>
      <c r="D2938" t="str">
        <f>"9783839453766"</f>
        <v>9783839453766</v>
      </c>
      <c r="E2938" t="s">
        <v>2798</v>
      </c>
      <c r="F2938" s="1">
        <v>44166</v>
      </c>
    </row>
    <row r="2939" spans="1:6" x14ac:dyDescent="0.25">
      <c r="A2939">
        <v>6762133</v>
      </c>
      <c r="B2939" t="s">
        <v>2984</v>
      </c>
      <c r="C2939" t="str">
        <f>"9783732852055"</f>
        <v>9783732852055</v>
      </c>
      <c r="D2939" t="str">
        <f>"9783839452059"</f>
        <v>9783839452059</v>
      </c>
      <c r="E2939" t="s">
        <v>2798</v>
      </c>
      <c r="F2939" s="1">
        <v>44105</v>
      </c>
    </row>
    <row r="2940" spans="1:6" x14ac:dyDescent="0.25">
      <c r="A2940">
        <v>6762324</v>
      </c>
      <c r="B2940" t="s">
        <v>2985</v>
      </c>
      <c r="C2940" t="str">
        <f>"9783837651140"</f>
        <v>9783837651140</v>
      </c>
      <c r="D2940" t="str">
        <f>"9783839451144"</f>
        <v>9783839451144</v>
      </c>
      <c r="E2940" t="s">
        <v>2798</v>
      </c>
      <c r="F2940" s="1">
        <v>44075</v>
      </c>
    </row>
    <row r="2941" spans="1:6" x14ac:dyDescent="0.25">
      <c r="A2941">
        <v>6762371</v>
      </c>
      <c r="B2941" t="s">
        <v>2986</v>
      </c>
      <c r="C2941" t="str">
        <f>"9783732856480"</f>
        <v>9783732856480</v>
      </c>
      <c r="D2941" t="str">
        <f>"9783839456484"</f>
        <v>9783839456484</v>
      </c>
      <c r="E2941" t="s">
        <v>2798</v>
      </c>
      <c r="F2941" s="1">
        <v>44287</v>
      </c>
    </row>
    <row r="2942" spans="1:6" x14ac:dyDescent="0.25">
      <c r="A2942">
        <v>6762431</v>
      </c>
      <c r="B2942" t="s">
        <v>2987</v>
      </c>
      <c r="C2942" t="str">
        <f>"9783732856039"</f>
        <v>9783732856039</v>
      </c>
      <c r="D2942" t="str">
        <f>"9783839456033"</f>
        <v>9783839456033</v>
      </c>
      <c r="E2942" t="s">
        <v>2798</v>
      </c>
      <c r="F2942" s="1">
        <v>44287</v>
      </c>
    </row>
    <row r="2943" spans="1:6" x14ac:dyDescent="0.25">
      <c r="A2943">
        <v>6762562</v>
      </c>
      <c r="B2943" t="s">
        <v>2988</v>
      </c>
      <c r="C2943" t="str">
        <f>"9783732853281"</f>
        <v>9783732853281</v>
      </c>
      <c r="D2943" t="str">
        <f>"9783839453285"</f>
        <v>9783839453285</v>
      </c>
      <c r="E2943" t="s">
        <v>2798</v>
      </c>
      <c r="F2943" s="1">
        <v>44075</v>
      </c>
    </row>
    <row r="2944" spans="1:6" x14ac:dyDescent="0.25">
      <c r="A2944">
        <v>6762654</v>
      </c>
      <c r="B2944" t="s">
        <v>2989</v>
      </c>
      <c r="C2944" t="str">
        <f>"9783732850723"</f>
        <v>9783732850723</v>
      </c>
      <c r="D2944" t="str">
        <f>"9783839450727"</f>
        <v>9783839450727</v>
      </c>
      <c r="E2944" t="s">
        <v>2798</v>
      </c>
      <c r="F2944" s="1">
        <v>43952</v>
      </c>
    </row>
    <row r="2945" spans="1:6" x14ac:dyDescent="0.25">
      <c r="A2945">
        <v>6762657</v>
      </c>
      <c r="B2945" t="s">
        <v>2990</v>
      </c>
      <c r="C2945" t="str">
        <f>"9783837649086"</f>
        <v>9783837649086</v>
      </c>
      <c r="D2945" t="str">
        <f>"9783839449080"</f>
        <v>9783839449080</v>
      </c>
      <c r="E2945" t="s">
        <v>2798</v>
      </c>
      <c r="F2945" s="1">
        <v>43952</v>
      </c>
    </row>
    <row r="2946" spans="1:6" x14ac:dyDescent="0.25">
      <c r="A2946">
        <v>6762764</v>
      </c>
      <c r="B2946" t="s">
        <v>2991</v>
      </c>
      <c r="C2946" t="str">
        <f>"9783837648270"</f>
        <v>9783837648270</v>
      </c>
      <c r="D2946" t="str">
        <f>"9783839448274"</f>
        <v>9783839448274</v>
      </c>
      <c r="E2946" t="s">
        <v>2798</v>
      </c>
      <c r="F2946" s="1">
        <v>43952</v>
      </c>
    </row>
    <row r="2947" spans="1:6" x14ac:dyDescent="0.25">
      <c r="A2947">
        <v>6762773</v>
      </c>
      <c r="B2947" t="s">
        <v>2992</v>
      </c>
      <c r="C2947" t="str">
        <f>"9783837655971"</f>
        <v>9783837655971</v>
      </c>
      <c r="D2947" t="str">
        <f>"9783839455975"</f>
        <v>9783839455975</v>
      </c>
      <c r="E2947" t="s">
        <v>2798</v>
      </c>
      <c r="F2947" s="1">
        <v>44287</v>
      </c>
    </row>
    <row r="2948" spans="1:6" x14ac:dyDescent="0.25">
      <c r="A2948">
        <v>6762852</v>
      </c>
      <c r="B2948" t="s">
        <v>2993</v>
      </c>
      <c r="C2948" t="str">
        <f>"9783837641080"</f>
        <v>9783837641080</v>
      </c>
      <c r="D2948" t="str">
        <f>"9783839441084"</f>
        <v>9783839441084</v>
      </c>
      <c r="E2948" t="s">
        <v>2798</v>
      </c>
      <c r="F2948" s="1">
        <v>43282</v>
      </c>
    </row>
    <row r="2949" spans="1:6" x14ac:dyDescent="0.25">
      <c r="A2949">
        <v>6762914</v>
      </c>
      <c r="B2949" t="s">
        <v>2994</v>
      </c>
      <c r="C2949" t="str">
        <f>"9783837656541"</f>
        <v>9783837656541</v>
      </c>
      <c r="D2949" t="str">
        <f>"9783839456545"</f>
        <v>9783839456545</v>
      </c>
      <c r="E2949" t="s">
        <v>2798</v>
      </c>
      <c r="F2949" s="1">
        <v>44287</v>
      </c>
    </row>
    <row r="2950" spans="1:6" x14ac:dyDescent="0.25">
      <c r="A2950">
        <v>6763086</v>
      </c>
      <c r="B2950" t="s">
        <v>2995</v>
      </c>
      <c r="C2950" t="str">
        <f>"9783837637939"</f>
        <v>9783837637939</v>
      </c>
      <c r="D2950" t="str">
        <f>"9783839437933"</f>
        <v>9783839437933</v>
      </c>
      <c r="E2950" t="s">
        <v>2798</v>
      </c>
      <c r="F2950" s="1">
        <v>43282</v>
      </c>
    </row>
    <row r="2951" spans="1:6" x14ac:dyDescent="0.25">
      <c r="A2951">
        <v>6763297</v>
      </c>
      <c r="B2951" t="s">
        <v>2996</v>
      </c>
      <c r="C2951" t="str">
        <f>"9783837657296"</f>
        <v>9783837657296</v>
      </c>
      <c r="D2951" t="str">
        <f>"9783839457290"</f>
        <v>9783839457290</v>
      </c>
      <c r="E2951" t="s">
        <v>2798</v>
      </c>
      <c r="F2951" s="1">
        <v>44348</v>
      </c>
    </row>
    <row r="2952" spans="1:6" x14ac:dyDescent="0.25">
      <c r="A2952">
        <v>6763442</v>
      </c>
      <c r="B2952" t="s">
        <v>2997</v>
      </c>
      <c r="C2952" t="str">
        <f>"9783837655292"</f>
        <v>9783837655292</v>
      </c>
      <c r="D2952" t="str">
        <f>"9783839455296"</f>
        <v>9783839455296</v>
      </c>
      <c r="E2952" t="s">
        <v>2798</v>
      </c>
      <c r="F2952" s="1">
        <v>44256</v>
      </c>
    </row>
    <row r="2953" spans="1:6" x14ac:dyDescent="0.25">
      <c r="A2953">
        <v>6763648</v>
      </c>
      <c r="B2953" t="s">
        <v>2998</v>
      </c>
      <c r="C2953" t="str">
        <f>"9783732858224"</f>
        <v>9783732858224</v>
      </c>
      <c r="D2953" t="str">
        <f>"9783839458228"</f>
        <v>9783839458228</v>
      </c>
      <c r="E2953" t="s">
        <v>2798</v>
      </c>
      <c r="F2953" s="1">
        <v>44348</v>
      </c>
    </row>
    <row r="2954" spans="1:6" x14ac:dyDescent="0.25">
      <c r="A2954">
        <v>6763705</v>
      </c>
      <c r="B2954" t="s">
        <v>2999</v>
      </c>
      <c r="C2954" t="str">
        <f>"9783837650792"</f>
        <v>9783837650792</v>
      </c>
      <c r="D2954" t="str">
        <f>"9783839450796"</f>
        <v>9783839450796</v>
      </c>
      <c r="E2954" t="s">
        <v>2798</v>
      </c>
      <c r="F2954" s="1">
        <v>43831</v>
      </c>
    </row>
    <row r="2955" spans="1:6" x14ac:dyDescent="0.25">
      <c r="A2955">
        <v>6763725</v>
      </c>
      <c r="B2955" t="s">
        <v>3000</v>
      </c>
      <c r="C2955" t="str">
        <f>"9783837650099"</f>
        <v>9783837650099</v>
      </c>
      <c r="D2955" t="str">
        <f>"9783839450093"</f>
        <v>9783839450093</v>
      </c>
      <c r="E2955" t="s">
        <v>2798</v>
      </c>
      <c r="F2955" s="1">
        <v>44075</v>
      </c>
    </row>
    <row r="2956" spans="1:6" x14ac:dyDescent="0.25">
      <c r="A2956">
        <v>6763800</v>
      </c>
      <c r="B2956" t="s">
        <v>3001</v>
      </c>
      <c r="C2956" t="str">
        <f>"9783837650457"</f>
        <v>9783837650457</v>
      </c>
      <c r="D2956" t="str">
        <f>"9783839450451"</f>
        <v>9783839450451</v>
      </c>
      <c r="E2956" t="s">
        <v>2798</v>
      </c>
      <c r="F2956" s="1">
        <v>44105</v>
      </c>
    </row>
    <row r="2957" spans="1:6" x14ac:dyDescent="0.25">
      <c r="A2957">
        <v>6764058</v>
      </c>
      <c r="B2957" t="s">
        <v>3002</v>
      </c>
      <c r="C2957" t="str">
        <f>"9783837652673"</f>
        <v>9783837652673</v>
      </c>
      <c r="D2957" t="str">
        <f>"9783839452677"</f>
        <v>9783839452677</v>
      </c>
      <c r="E2957" t="s">
        <v>2798</v>
      </c>
      <c r="F2957" s="1">
        <v>44013</v>
      </c>
    </row>
    <row r="2958" spans="1:6" x14ac:dyDescent="0.25">
      <c r="A2958">
        <v>6764155</v>
      </c>
      <c r="B2958" t="s">
        <v>3003</v>
      </c>
      <c r="C2958" t="str">
        <f>"9783837650136"</f>
        <v>9783837650136</v>
      </c>
      <c r="D2958" t="str">
        <f>"9783839450130"</f>
        <v>9783839450130</v>
      </c>
      <c r="E2958" t="s">
        <v>2798</v>
      </c>
      <c r="F2958" s="1">
        <v>44075</v>
      </c>
    </row>
    <row r="2959" spans="1:6" x14ac:dyDescent="0.25">
      <c r="A2959">
        <v>6764187</v>
      </c>
      <c r="B2959" t="s">
        <v>3004</v>
      </c>
      <c r="C2959" t="str">
        <f>"9783837655049"</f>
        <v>9783837655049</v>
      </c>
      <c r="D2959" t="str">
        <f>"9783839455043"</f>
        <v>9783839455043</v>
      </c>
      <c r="E2959" t="s">
        <v>2798</v>
      </c>
      <c r="F2959" s="1">
        <v>44317</v>
      </c>
    </row>
    <row r="2960" spans="1:6" x14ac:dyDescent="0.25">
      <c r="A2960">
        <v>6764223</v>
      </c>
      <c r="B2960" t="s">
        <v>3005</v>
      </c>
      <c r="C2960" t="str">
        <f>"9783837649178"</f>
        <v>9783837649178</v>
      </c>
      <c r="D2960" t="str">
        <f>"9783839449172"</f>
        <v>9783839449172</v>
      </c>
      <c r="E2960" t="s">
        <v>2798</v>
      </c>
      <c r="F2960" s="1">
        <v>44256</v>
      </c>
    </row>
    <row r="2961" spans="1:6" x14ac:dyDescent="0.25">
      <c r="A2961">
        <v>6764384</v>
      </c>
      <c r="B2961" t="s">
        <v>3006</v>
      </c>
      <c r="C2961" t="str">
        <f>"9783732850716"</f>
        <v>9783732850716</v>
      </c>
      <c r="D2961" t="str">
        <f>"9783839450710"</f>
        <v>9783839450710</v>
      </c>
      <c r="E2961" t="s">
        <v>2798</v>
      </c>
      <c r="F2961" s="1">
        <v>44013</v>
      </c>
    </row>
    <row r="2962" spans="1:6" x14ac:dyDescent="0.25">
      <c r="A2962">
        <v>6764473</v>
      </c>
      <c r="B2962" t="s">
        <v>3007</v>
      </c>
      <c r="C2962" t="str">
        <f>"9783837643305"</f>
        <v>9783837643305</v>
      </c>
      <c r="D2962" t="str">
        <f>"9783839443309"</f>
        <v>9783839443309</v>
      </c>
      <c r="E2962" t="s">
        <v>2798</v>
      </c>
      <c r="F2962" s="1">
        <v>43952</v>
      </c>
    </row>
    <row r="2963" spans="1:6" x14ac:dyDescent="0.25">
      <c r="A2963">
        <v>6764529</v>
      </c>
      <c r="B2963" t="s">
        <v>3008</v>
      </c>
      <c r="C2963" t="str">
        <f>"9783837653526"</f>
        <v>9783837653526</v>
      </c>
      <c r="D2963" t="str">
        <f>"9783839453520"</f>
        <v>9783839453520</v>
      </c>
      <c r="E2963" t="s">
        <v>2798</v>
      </c>
      <c r="F2963" s="1">
        <v>44013</v>
      </c>
    </row>
    <row r="2964" spans="1:6" x14ac:dyDescent="0.25">
      <c r="A2964">
        <v>6764540</v>
      </c>
      <c r="B2964" t="s">
        <v>3009</v>
      </c>
      <c r="C2964" t="str">
        <f>""</f>
        <v/>
      </c>
      <c r="D2964" t="str">
        <f>"9780824882402"</f>
        <v>9780824882402</v>
      </c>
      <c r="E2964" t="s">
        <v>2875</v>
      </c>
      <c r="F2964" s="1">
        <v>29465</v>
      </c>
    </row>
    <row r="2965" spans="1:6" x14ac:dyDescent="0.25">
      <c r="A2965">
        <v>6764561</v>
      </c>
      <c r="B2965" t="s">
        <v>3010</v>
      </c>
      <c r="C2965" t="str">
        <f>"9783837657470"</f>
        <v>9783837657470</v>
      </c>
      <c r="D2965" t="str">
        <f>"9783839457474"</f>
        <v>9783839457474</v>
      </c>
      <c r="E2965" t="s">
        <v>2798</v>
      </c>
      <c r="F2965" s="1">
        <v>44348</v>
      </c>
    </row>
    <row r="2966" spans="1:6" x14ac:dyDescent="0.25">
      <c r="A2966">
        <v>6764610</v>
      </c>
      <c r="B2966" t="s">
        <v>3011</v>
      </c>
      <c r="C2966" t="str">
        <f>"9783837654028"</f>
        <v>9783837654028</v>
      </c>
      <c r="D2966" t="str">
        <f>"9783839454022"</f>
        <v>9783839454022</v>
      </c>
      <c r="E2966" t="s">
        <v>2798</v>
      </c>
      <c r="F2966" s="1">
        <v>44256</v>
      </c>
    </row>
    <row r="2967" spans="1:6" x14ac:dyDescent="0.25">
      <c r="A2967">
        <v>6764846</v>
      </c>
      <c r="B2967" t="s">
        <v>3012</v>
      </c>
      <c r="C2967" t="str">
        <f>"9783732852819"</f>
        <v>9783732852819</v>
      </c>
      <c r="D2967" t="str">
        <f>"9783839452813"</f>
        <v>9783839452813</v>
      </c>
      <c r="E2967" t="s">
        <v>2798</v>
      </c>
      <c r="F2967" s="1">
        <v>44348</v>
      </c>
    </row>
    <row r="2968" spans="1:6" x14ac:dyDescent="0.25">
      <c r="A2968">
        <v>6765017</v>
      </c>
      <c r="B2968" t="s">
        <v>3013</v>
      </c>
      <c r="C2968" t="str">
        <f>"9783837655698"</f>
        <v>9783837655698</v>
      </c>
      <c r="D2968" t="str">
        <f>"9783839455692"</f>
        <v>9783839455692</v>
      </c>
      <c r="E2968" t="s">
        <v>2798</v>
      </c>
      <c r="F2968" s="1">
        <v>44197</v>
      </c>
    </row>
    <row r="2969" spans="1:6" x14ac:dyDescent="0.25">
      <c r="A2969">
        <v>6765039</v>
      </c>
      <c r="B2969" t="s">
        <v>3014</v>
      </c>
      <c r="C2969" t="str">
        <f>"9783837641790"</f>
        <v>9783837641790</v>
      </c>
      <c r="D2969" t="str">
        <f>"9783839441794"</f>
        <v>9783839441794</v>
      </c>
      <c r="E2969" t="s">
        <v>2798</v>
      </c>
      <c r="F2969" s="1">
        <v>43160</v>
      </c>
    </row>
    <row r="2970" spans="1:6" x14ac:dyDescent="0.25">
      <c r="A2970">
        <v>6765082</v>
      </c>
      <c r="B2970" t="s">
        <v>3015</v>
      </c>
      <c r="C2970" t="str">
        <f>"9783837651942"</f>
        <v>9783837651942</v>
      </c>
      <c r="D2970" t="str">
        <f>"9783839451946"</f>
        <v>9783839451946</v>
      </c>
      <c r="E2970" t="s">
        <v>2798</v>
      </c>
      <c r="F2970" s="1">
        <v>44013</v>
      </c>
    </row>
    <row r="2971" spans="1:6" x14ac:dyDescent="0.25">
      <c r="A2971">
        <v>6765249</v>
      </c>
      <c r="B2971" t="s">
        <v>3016</v>
      </c>
      <c r="C2971" t="str">
        <f>"9783837652024"</f>
        <v>9783837652024</v>
      </c>
      <c r="D2971" t="str">
        <f>"9783839452028"</f>
        <v>9783839452028</v>
      </c>
      <c r="E2971" t="s">
        <v>2798</v>
      </c>
      <c r="F2971" s="1">
        <v>44256</v>
      </c>
    </row>
    <row r="2972" spans="1:6" x14ac:dyDescent="0.25">
      <c r="A2972">
        <v>6765256</v>
      </c>
      <c r="B2972" t="s">
        <v>3017</v>
      </c>
      <c r="C2972" t="str">
        <f>"9783837650082"</f>
        <v>9783837650082</v>
      </c>
      <c r="D2972" t="str">
        <f>"9783839450086"</f>
        <v>9783839450086</v>
      </c>
      <c r="E2972" t="s">
        <v>2798</v>
      </c>
      <c r="F2972" s="1">
        <v>43952</v>
      </c>
    </row>
    <row r="2973" spans="1:6" x14ac:dyDescent="0.25">
      <c r="A2973">
        <v>6765400</v>
      </c>
      <c r="B2973" t="s">
        <v>3018</v>
      </c>
      <c r="C2973" t="str">
        <f>"9783732856060"</f>
        <v>9783732856060</v>
      </c>
      <c r="D2973" t="str">
        <f>"9783839456064"</f>
        <v>9783839456064</v>
      </c>
      <c r="E2973" t="s">
        <v>2798</v>
      </c>
      <c r="F2973" s="1">
        <v>44287</v>
      </c>
    </row>
    <row r="2974" spans="1:6" x14ac:dyDescent="0.25">
      <c r="A2974">
        <v>6765436</v>
      </c>
      <c r="B2974" t="s">
        <v>3019</v>
      </c>
      <c r="C2974" t="str">
        <f>"9783732831265"</f>
        <v>9783732831265</v>
      </c>
      <c r="D2974" t="str">
        <f>"9783839431269"</f>
        <v>9783839431269</v>
      </c>
      <c r="E2974" t="s">
        <v>2798</v>
      </c>
      <c r="F2974" s="1">
        <v>43009</v>
      </c>
    </row>
    <row r="2975" spans="1:6" x14ac:dyDescent="0.25">
      <c r="A2975">
        <v>6765780</v>
      </c>
      <c r="B2975" t="s">
        <v>3020</v>
      </c>
      <c r="C2975" t="str">
        <f>"9783732854677"</f>
        <v>9783732854677</v>
      </c>
      <c r="D2975" t="str">
        <f>"9783839454671"</f>
        <v>9783839454671</v>
      </c>
      <c r="E2975" t="s">
        <v>2798</v>
      </c>
      <c r="F2975" s="1">
        <v>44256</v>
      </c>
    </row>
    <row r="2976" spans="1:6" x14ac:dyDescent="0.25">
      <c r="A2976">
        <v>6765781</v>
      </c>
      <c r="B2976" t="s">
        <v>3021</v>
      </c>
      <c r="C2976" t="str">
        <f>"9783732855278"</f>
        <v>9783732855278</v>
      </c>
      <c r="D2976" t="str">
        <f>"9783839455272"</f>
        <v>9783839455272</v>
      </c>
      <c r="E2976" t="s">
        <v>2798</v>
      </c>
      <c r="F2976" s="1">
        <v>44166</v>
      </c>
    </row>
    <row r="2977" spans="1:6" x14ac:dyDescent="0.25">
      <c r="A2977">
        <v>6765917</v>
      </c>
      <c r="B2977" t="s">
        <v>3022</v>
      </c>
      <c r="C2977" t="str">
        <f>"9783732856336"</f>
        <v>9783732856336</v>
      </c>
      <c r="D2977" t="str">
        <f>"9783839456330"</f>
        <v>9783839456330</v>
      </c>
      <c r="E2977" t="s">
        <v>2798</v>
      </c>
      <c r="F2977" s="1">
        <v>44287</v>
      </c>
    </row>
    <row r="2978" spans="1:6" x14ac:dyDescent="0.25">
      <c r="A2978">
        <v>6766014</v>
      </c>
      <c r="B2978" t="s">
        <v>3023</v>
      </c>
      <c r="C2978" t="str">
        <f>"9783837632484"</f>
        <v>9783837632484</v>
      </c>
      <c r="D2978" t="str">
        <f>"9783839432488"</f>
        <v>9783839432488</v>
      </c>
      <c r="E2978" t="s">
        <v>2798</v>
      </c>
      <c r="F2978" s="1">
        <v>43252</v>
      </c>
    </row>
    <row r="2979" spans="1:6" x14ac:dyDescent="0.25">
      <c r="A2979">
        <v>6766025</v>
      </c>
      <c r="B2979" t="s">
        <v>3024</v>
      </c>
      <c r="C2979" t="str">
        <f>"9783837656350"</f>
        <v>9783837656350</v>
      </c>
      <c r="D2979" t="str">
        <f>"9783839456354"</f>
        <v>9783839456354</v>
      </c>
      <c r="E2979" t="s">
        <v>2798</v>
      </c>
      <c r="F2979" s="1">
        <v>44287</v>
      </c>
    </row>
    <row r="2980" spans="1:6" x14ac:dyDescent="0.25">
      <c r="A2980">
        <v>6766045</v>
      </c>
      <c r="B2980" t="s">
        <v>3025</v>
      </c>
      <c r="C2980" t="str">
        <f>"9783837655711"</f>
        <v>9783837655711</v>
      </c>
      <c r="D2980" t="str">
        <f>"9783839455715"</f>
        <v>9783839455715</v>
      </c>
      <c r="E2980" t="s">
        <v>2798</v>
      </c>
      <c r="F2980" s="1">
        <v>44166</v>
      </c>
    </row>
    <row r="2981" spans="1:6" x14ac:dyDescent="0.25">
      <c r="A2981">
        <v>6766061</v>
      </c>
      <c r="B2981" t="s">
        <v>3026</v>
      </c>
      <c r="C2981" t="str">
        <f>"9783837646405"</f>
        <v>9783837646405</v>
      </c>
      <c r="D2981" t="str">
        <f>"9783839446409"</f>
        <v>9783839446409</v>
      </c>
      <c r="E2981" t="s">
        <v>2798</v>
      </c>
      <c r="F2981" s="1">
        <v>44105</v>
      </c>
    </row>
    <row r="2982" spans="1:6" x14ac:dyDescent="0.25">
      <c r="A2982">
        <v>6766187</v>
      </c>
      <c r="B2982" t="s">
        <v>3027</v>
      </c>
      <c r="C2982" t="str">
        <f>"9783837651973"</f>
        <v>9783837651973</v>
      </c>
      <c r="D2982" t="str">
        <f>"9783839451977"</f>
        <v>9783839451977</v>
      </c>
      <c r="E2982" t="s">
        <v>2798</v>
      </c>
      <c r="F2982" s="1">
        <v>44166</v>
      </c>
    </row>
    <row r="2983" spans="1:6" x14ac:dyDescent="0.25">
      <c r="A2983">
        <v>6768315</v>
      </c>
      <c r="B2983" t="s">
        <v>3028</v>
      </c>
      <c r="C2983" t="str">
        <f>"9789811227875"</f>
        <v>9789811227875</v>
      </c>
      <c r="D2983" t="str">
        <f>"9789811227882"</f>
        <v>9789811227882</v>
      </c>
      <c r="E2983" t="s">
        <v>1382</v>
      </c>
      <c r="F2983" s="1">
        <v>44306</v>
      </c>
    </row>
    <row r="2984" spans="1:6" x14ac:dyDescent="0.25">
      <c r="A2984">
        <v>6768316</v>
      </c>
      <c r="B2984" t="s">
        <v>3029</v>
      </c>
      <c r="C2984" t="str">
        <f>"9789811232695"</f>
        <v>9789811232695</v>
      </c>
      <c r="D2984" t="str">
        <f>"9789811232701"</f>
        <v>9789811232701</v>
      </c>
      <c r="E2984" t="s">
        <v>1382</v>
      </c>
      <c r="F2984" s="1">
        <v>44159</v>
      </c>
    </row>
    <row r="2985" spans="1:6" x14ac:dyDescent="0.25">
      <c r="A2985">
        <v>6768937</v>
      </c>
      <c r="B2985" t="s">
        <v>3030</v>
      </c>
      <c r="C2985" t="str">
        <f>"9780939512416"</f>
        <v>9780939512416</v>
      </c>
      <c r="D2985" t="str">
        <f>"9780472880027"</f>
        <v>9780472880027</v>
      </c>
      <c r="E2985" t="s">
        <v>2255</v>
      </c>
      <c r="F2985" s="1">
        <v>33178</v>
      </c>
    </row>
    <row r="2986" spans="1:6" x14ac:dyDescent="0.25">
      <c r="A2986">
        <v>6784231</v>
      </c>
      <c r="B2986" t="s">
        <v>3031</v>
      </c>
      <c r="C2986" t="str">
        <f>"9783658343033"</f>
        <v>9783658343033</v>
      </c>
      <c r="D2986" t="str">
        <f>"9783658343040"</f>
        <v>9783658343040</v>
      </c>
      <c r="E2986" t="s">
        <v>1391</v>
      </c>
      <c r="F2986" s="1">
        <v>44485</v>
      </c>
    </row>
    <row r="2987" spans="1:6" x14ac:dyDescent="0.25">
      <c r="A2987">
        <v>6784232</v>
      </c>
      <c r="B2987" t="s">
        <v>3032</v>
      </c>
      <c r="C2987" t="str">
        <f>"9783658343347"</f>
        <v>9783658343347</v>
      </c>
      <c r="D2987" t="str">
        <f>"9783658343354"</f>
        <v>9783658343354</v>
      </c>
      <c r="E2987" t="s">
        <v>1391</v>
      </c>
      <c r="F2987" s="1">
        <v>44485</v>
      </c>
    </row>
    <row r="2988" spans="1:6" x14ac:dyDescent="0.25">
      <c r="A2988">
        <v>6786043</v>
      </c>
      <c r="B2988" t="s">
        <v>3033</v>
      </c>
      <c r="C2988" t="str">
        <f>"9783865277824"</f>
        <v>9783865277824</v>
      </c>
      <c r="D2988" t="str">
        <f>"9783954871070"</f>
        <v>9783954871070</v>
      </c>
      <c r="E2988" t="s">
        <v>3034</v>
      </c>
      <c r="F2988" s="1">
        <v>41275</v>
      </c>
    </row>
    <row r="2989" spans="1:6" x14ac:dyDescent="0.25">
      <c r="A2989">
        <v>6787726</v>
      </c>
      <c r="B2989" t="s">
        <v>3035</v>
      </c>
      <c r="C2989" t="str">
        <f>"9789811640940"</f>
        <v>9789811640940</v>
      </c>
      <c r="D2989" t="str">
        <f>"9789811640957"</f>
        <v>9789811640957</v>
      </c>
      <c r="E2989" t="s">
        <v>1177</v>
      </c>
      <c r="F2989" s="1">
        <v>44489</v>
      </c>
    </row>
    <row r="2990" spans="1:6" x14ac:dyDescent="0.25">
      <c r="A2990">
        <v>6789170</v>
      </c>
      <c r="B2990" t="s">
        <v>3036</v>
      </c>
      <c r="C2990" t="str">
        <f>""</f>
        <v/>
      </c>
      <c r="D2990" t="str">
        <f>"9781789249118"</f>
        <v>9781789249118</v>
      </c>
      <c r="E2990" t="s">
        <v>1534</v>
      </c>
      <c r="F2990" s="1">
        <v>44499</v>
      </c>
    </row>
    <row r="2991" spans="1:6" x14ac:dyDescent="0.25">
      <c r="A2991">
        <v>6789405</v>
      </c>
      <c r="B2991" t="s">
        <v>3037</v>
      </c>
      <c r="C2991" t="str">
        <f>"9781800642553"</f>
        <v>9781800642553</v>
      </c>
      <c r="D2991" t="str">
        <f>"9781800642560"</f>
        <v>9781800642560</v>
      </c>
      <c r="E2991" t="s">
        <v>580</v>
      </c>
      <c r="F2991" s="1">
        <v>44454</v>
      </c>
    </row>
    <row r="2992" spans="1:6" x14ac:dyDescent="0.25">
      <c r="A2992">
        <v>6789406</v>
      </c>
      <c r="B2992" t="s">
        <v>3038</v>
      </c>
      <c r="C2992" t="str">
        <f>"9781800641471"</f>
        <v>9781800641471</v>
      </c>
      <c r="D2992" t="str">
        <f>"9781800641488"</f>
        <v>9781800641488</v>
      </c>
      <c r="E2992" t="s">
        <v>580</v>
      </c>
      <c r="F2992" s="1">
        <v>44464</v>
      </c>
    </row>
    <row r="2993" spans="1:6" x14ac:dyDescent="0.25">
      <c r="A2993">
        <v>6789514</v>
      </c>
      <c r="B2993" t="s">
        <v>3039</v>
      </c>
      <c r="C2993" t="str">
        <f>""</f>
        <v/>
      </c>
      <c r="D2993" t="str">
        <f>"9789048544950"</f>
        <v>9789048544950</v>
      </c>
      <c r="E2993" t="s">
        <v>59</v>
      </c>
      <c r="F2993" s="1">
        <v>44501</v>
      </c>
    </row>
    <row r="2994" spans="1:6" x14ac:dyDescent="0.25">
      <c r="A2994">
        <v>6789528</v>
      </c>
      <c r="B2994" t="s">
        <v>3040</v>
      </c>
      <c r="C2994" t="str">
        <f>"9783030885823"</f>
        <v>9783030885823</v>
      </c>
      <c r="D2994" t="str">
        <f>"9783030885830"</f>
        <v>9783030885830</v>
      </c>
      <c r="E2994" t="s">
        <v>756</v>
      </c>
      <c r="F2994" s="1">
        <v>44492</v>
      </c>
    </row>
    <row r="2995" spans="1:6" x14ac:dyDescent="0.25">
      <c r="A2995">
        <v>6789529</v>
      </c>
      <c r="B2995" t="s">
        <v>3041</v>
      </c>
      <c r="C2995" t="str">
        <f>"9783662632857"</f>
        <v>9783662632857</v>
      </c>
      <c r="D2995" t="str">
        <f>"9783662632864"</f>
        <v>9783662632864</v>
      </c>
      <c r="E2995" t="s">
        <v>1416</v>
      </c>
      <c r="F2995" s="1">
        <v>44492</v>
      </c>
    </row>
    <row r="2996" spans="1:6" x14ac:dyDescent="0.25">
      <c r="A2996">
        <v>6789530</v>
      </c>
      <c r="B2996" t="s">
        <v>3042</v>
      </c>
      <c r="C2996" t="str">
        <f>"9789811606793"</f>
        <v>9789811606793</v>
      </c>
      <c r="D2996" t="str">
        <f>"9789811606809"</f>
        <v>9789811606809</v>
      </c>
      <c r="E2996" t="s">
        <v>757</v>
      </c>
      <c r="F2996" s="1">
        <v>44492</v>
      </c>
    </row>
    <row r="2997" spans="1:6" x14ac:dyDescent="0.25">
      <c r="A2997">
        <v>6789986</v>
      </c>
      <c r="B2997" t="s">
        <v>3043</v>
      </c>
      <c r="C2997" t="str">
        <f>"9783030843427"</f>
        <v>9783030843427</v>
      </c>
      <c r="D2997" t="str">
        <f>"9783030843434"</f>
        <v>9783030843434</v>
      </c>
      <c r="E2997" t="s">
        <v>756</v>
      </c>
      <c r="F2997" s="1">
        <v>44492</v>
      </c>
    </row>
    <row r="2998" spans="1:6" x14ac:dyDescent="0.25">
      <c r="A2998">
        <v>6790369</v>
      </c>
      <c r="B2998" t="s">
        <v>3044</v>
      </c>
      <c r="C2998" t="str">
        <f>""</f>
        <v/>
      </c>
      <c r="D2998" t="str">
        <f>"9789179290214"</f>
        <v>9789179290214</v>
      </c>
      <c r="E2998" t="s">
        <v>1268</v>
      </c>
      <c r="F2998" s="1">
        <v>44426</v>
      </c>
    </row>
    <row r="2999" spans="1:6" x14ac:dyDescent="0.25">
      <c r="A2999">
        <v>6790370</v>
      </c>
      <c r="B2999" t="s">
        <v>3045</v>
      </c>
      <c r="C2999" t="str">
        <f>""</f>
        <v/>
      </c>
      <c r="D2999" t="str">
        <f>"9789179290382"</f>
        <v>9789179290382</v>
      </c>
      <c r="E2999" t="s">
        <v>1268</v>
      </c>
      <c r="F2999" s="1">
        <v>44475</v>
      </c>
    </row>
    <row r="3000" spans="1:6" x14ac:dyDescent="0.25">
      <c r="A3000">
        <v>6790372</v>
      </c>
      <c r="B3000" t="s">
        <v>3046</v>
      </c>
      <c r="C3000" t="str">
        <f>""</f>
        <v/>
      </c>
      <c r="D3000" t="str">
        <f>"9789179290979"</f>
        <v>9789179290979</v>
      </c>
      <c r="E3000" t="s">
        <v>1268</v>
      </c>
      <c r="F3000" s="1">
        <v>44487</v>
      </c>
    </row>
    <row r="3001" spans="1:6" x14ac:dyDescent="0.25">
      <c r="A3001">
        <v>6790373</v>
      </c>
      <c r="B3001" t="s">
        <v>3047</v>
      </c>
      <c r="C3001" t="str">
        <f>""</f>
        <v/>
      </c>
      <c r="D3001" t="str">
        <f>"9789179290405"</f>
        <v>9789179290405</v>
      </c>
      <c r="E3001" t="s">
        <v>1268</v>
      </c>
      <c r="F3001" s="1">
        <v>44491</v>
      </c>
    </row>
    <row r="3002" spans="1:6" x14ac:dyDescent="0.25">
      <c r="A3002">
        <v>6790720</v>
      </c>
      <c r="B3002" t="s">
        <v>3048</v>
      </c>
      <c r="C3002" t="str">
        <f>"9789811652479"</f>
        <v>9789811652479</v>
      </c>
      <c r="D3002" t="str">
        <f>"9789811652486"</f>
        <v>9789811652486</v>
      </c>
      <c r="E3002" t="s">
        <v>757</v>
      </c>
      <c r="F3002" s="1">
        <v>44493</v>
      </c>
    </row>
    <row r="3003" spans="1:6" x14ac:dyDescent="0.25">
      <c r="A3003">
        <v>6790721</v>
      </c>
      <c r="B3003" t="s">
        <v>3049</v>
      </c>
      <c r="C3003" t="str">
        <f>"9783030783334"</f>
        <v>9783030783334</v>
      </c>
      <c r="D3003" t="str">
        <f>"9783030783341"</f>
        <v>9783030783341</v>
      </c>
      <c r="E3003" t="s">
        <v>756</v>
      </c>
      <c r="F3003" s="1">
        <v>44493</v>
      </c>
    </row>
    <row r="3004" spans="1:6" x14ac:dyDescent="0.25">
      <c r="A3004">
        <v>6791473</v>
      </c>
      <c r="B3004" t="s">
        <v>3050</v>
      </c>
      <c r="C3004" t="str">
        <f>"9789633864111"</f>
        <v>9789633864111</v>
      </c>
      <c r="D3004" t="str">
        <f>"9789633864128"</f>
        <v>9789633864128</v>
      </c>
      <c r="E3004" t="s">
        <v>576</v>
      </c>
      <c r="F3004" s="1">
        <v>44545</v>
      </c>
    </row>
    <row r="3005" spans="1:6" x14ac:dyDescent="0.25">
      <c r="A3005">
        <v>6792516</v>
      </c>
      <c r="B3005" t="s">
        <v>3051</v>
      </c>
      <c r="C3005" t="str">
        <f>"9783030729363"</f>
        <v>9783030729363</v>
      </c>
      <c r="D3005" t="str">
        <f>"9783030729370"</f>
        <v>9783030729370</v>
      </c>
      <c r="E3005" t="s">
        <v>756</v>
      </c>
      <c r="F3005" s="1">
        <v>44495</v>
      </c>
    </row>
    <row r="3006" spans="1:6" x14ac:dyDescent="0.25">
      <c r="A3006">
        <v>6792517</v>
      </c>
      <c r="B3006" t="s">
        <v>3052</v>
      </c>
      <c r="C3006" t="str">
        <f>"9783658357108"</f>
        <v>9783658357108</v>
      </c>
      <c r="D3006" t="str">
        <f>"9783658357115"</f>
        <v>9783658357115</v>
      </c>
      <c r="E3006" t="s">
        <v>1391</v>
      </c>
      <c r="F3006" s="1">
        <v>44495</v>
      </c>
    </row>
    <row r="3007" spans="1:6" x14ac:dyDescent="0.25">
      <c r="A3007">
        <v>6792518</v>
      </c>
      <c r="B3007" t="s">
        <v>3053</v>
      </c>
      <c r="C3007" t="str">
        <f>"9783030771263"</f>
        <v>9783030771263</v>
      </c>
      <c r="D3007" t="str">
        <f>"9783030771270"</f>
        <v>9783030771270</v>
      </c>
      <c r="E3007" t="s">
        <v>756</v>
      </c>
      <c r="F3007" s="1">
        <v>44495</v>
      </c>
    </row>
    <row r="3008" spans="1:6" x14ac:dyDescent="0.25">
      <c r="A3008">
        <v>6792519</v>
      </c>
      <c r="B3008" t="s">
        <v>3054</v>
      </c>
      <c r="C3008" t="str">
        <f>"9783662620434"</f>
        <v>9783662620434</v>
      </c>
      <c r="D3008" t="str">
        <f>"9783662620441"</f>
        <v>9783662620441</v>
      </c>
      <c r="E3008" t="s">
        <v>1416</v>
      </c>
      <c r="F3008" s="1">
        <v>44495</v>
      </c>
    </row>
    <row r="3009" spans="1:6" x14ac:dyDescent="0.25">
      <c r="A3009">
        <v>6792520</v>
      </c>
      <c r="B3009" t="s">
        <v>3055</v>
      </c>
      <c r="C3009" t="str">
        <f>"9783030839246"</f>
        <v>9783030839246</v>
      </c>
      <c r="D3009" t="str">
        <f>"9783030839253"</f>
        <v>9783030839253</v>
      </c>
      <c r="E3009" t="s">
        <v>756</v>
      </c>
      <c r="F3009" s="1">
        <v>44495</v>
      </c>
    </row>
    <row r="3010" spans="1:6" x14ac:dyDescent="0.25">
      <c r="A3010">
        <v>6794040</v>
      </c>
      <c r="B3010" t="s">
        <v>3056</v>
      </c>
      <c r="C3010" t="str">
        <f>"9783662639283"</f>
        <v>9783662639283</v>
      </c>
      <c r="D3010" t="str">
        <f>"9783662639290"</f>
        <v>9783662639290</v>
      </c>
      <c r="E3010" t="s">
        <v>1416</v>
      </c>
      <c r="F3010" s="1">
        <v>44495</v>
      </c>
    </row>
    <row r="3011" spans="1:6" x14ac:dyDescent="0.25">
      <c r="A3011">
        <v>6794041</v>
      </c>
      <c r="B3011" t="s">
        <v>3057</v>
      </c>
      <c r="C3011" t="str">
        <f>"9783030831134"</f>
        <v>9783030831134</v>
      </c>
      <c r="D3011" t="str">
        <f>"9783030831141"</f>
        <v>9783030831141</v>
      </c>
      <c r="E3011" t="s">
        <v>756</v>
      </c>
      <c r="F3011" s="1">
        <v>44497</v>
      </c>
    </row>
    <row r="3012" spans="1:6" x14ac:dyDescent="0.25">
      <c r="A3012">
        <v>6794662</v>
      </c>
      <c r="B3012" t="s">
        <v>3058</v>
      </c>
      <c r="C3012" t="str">
        <f>"9781478010630"</f>
        <v>9781478010630</v>
      </c>
      <c r="D3012" t="str">
        <f>"9781478091707"</f>
        <v>9781478091707</v>
      </c>
      <c r="E3012" t="s">
        <v>174</v>
      </c>
      <c r="F3012" s="1">
        <v>44323</v>
      </c>
    </row>
    <row r="3013" spans="1:6" x14ac:dyDescent="0.25">
      <c r="A3013">
        <v>6794664</v>
      </c>
      <c r="B3013" t="s">
        <v>3059</v>
      </c>
      <c r="C3013" t="str">
        <f>"9781478013594"</f>
        <v>9781478013594</v>
      </c>
      <c r="D3013" t="str">
        <f>"9781478091745"</f>
        <v>9781478091745</v>
      </c>
      <c r="E3013" t="s">
        <v>174</v>
      </c>
      <c r="F3013" s="1">
        <v>44491</v>
      </c>
    </row>
    <row r="3014" spans="1:6" x14ac:dyDescent="0.25">
      <c r="A3014">
        <v>6795398</v>
      </c>
      <c r="B3014" t="s">
        <v>3060</v>
      </c>
      <c r="C3014" t="str">
        <f>"9783030785505"</f>
        <v>9783030785505</v>
      </c>
      <c r="D3014" t="str">
        <f>"9783030785512"</f>
        <v>9783030785512</v>
      </c>
      <c r="E3014" t="s">
        <v>756</v>
      </c>
      <c r="F3014" s="1">
        <v>44497</v>
      </c>
    </row>
    <row r="3015" spans="1:6" x14ac:dyDescent="0.25">
      <c r="A3015">
        <v>6795399</v>
      </c>
      <c r="B3015" t="s">
        <v>3061</v>
      </c>
      <c r="C3015" t="str">
        <f>"9783658328481"</f>
        <v>9783658328481</v>
      </c>
      <c r="D3015" t="str">
        <f>"9783658328498"</f>
        <v>9783658328498</v>
      </c>
      <c r="E3015" t="s">
        <v>1391</v>
      </c>
      <c r="F3015" s="1">
        <v>44497</v>
      </c>
    </row>
    <row r="3016" spans="1:6" x14ac:dyDescent="0.25">
      <c r="A3016">
        <v>6795858</v>
      </c>
      <c r="B3016" t="s">
        <v>3062</v>
      </c>
      <c r="C3016" t="str">
        <f>""</f>
        <v/>
      </c>
      <c r="D3016" t="str">
        <f>"9782759234394"</f>
        <v>9782759234394</v>
      </c>
      <c r="E3016" t="s">
        <v>626</v>
      </c>
      <c r="F3016" s="1">
        <v>44497</v>
      </c>
    </row>
    <row r="3017" spans="1:6" x14ac:dyDescent="0.25">
      <c r="A3017">
        <v>6796033</v>
      </c>
      <c r="B3017" t="s">
        <v>3063</v>
      </c>
      <c r="C3017" t="str">
        <f>"9781478010357"</f>
        <v>9781478010357</v>
      </c>
      <c r="D3017" t="str">
        <f>"9781478012993"</f>
        <v>9781478012993</v>
      </c>
      <c r="E3017" t="s">
        <v>174</v>
      </c>
      <c r="F3017" s="1">
        <v>44211</v>
      </c>
    </row>
    <row r="3018" spans="1:6" x14ac:dyDescent="0.25">
      <c r="A3018">
        <v>6796034</v>
      </c>
      <c r="B3018" t="s">
        <v>3064</v>
      </c>
      <c r="C3018" t="str">
        <f>"9781478013624"</f>
        <v>9781478013624</v>
      </c>
      <c r="D3018" t="str">
        <f>"9781478092636"</f>
        <v>9781478092636</v>
      </c>
      <c r="E3018" t="s">
        <v>174</v>
      </c>
      <c r="F3018" s="1">
        <v>44491</v>
      </c>
    </row>
    <row r="3019" spans="1:6" x14ac:dyDescent="0.25">
      <c r="A3019">
        <v>6796035</v>
      </c>
      <c r="B3019" t="s">
        <v>3065</v>
      </c>
      <c r="C3019" t="str">
        <f>"9781478010722"</f>
        <v>9781478010722</v>
      </c>
      <c r="D3019" t="str">
        <f>"9781478091714"</f>
        <v>9781478091714</v>
      </c>
      <c r="E3019" t="s">
        <v>174</v>
      </c>
      <c r="F3019" s="1">
        <v>44351</v>
      </c>
    </row>
    <row r="3020" spans="1:6" x14ac:dyDescent="0.25">
      <c r="A3020">
        <v>6796069</v>
      </c>
      <c r="B3020" t="s">
        <v>3066</v>
      </c>
      <c r="C3020" t="str">
        <f>"9783030820510"</f>
        <v>9783030820510</v>
      </c>
      <c r="D3020" t="str">
        <f>"9783030820527"</f>
        <v>9783030820527</v>
      </c>
      <c r="E3020" t="s">
        <v>756</v>
      </c>
      <c r="F3020" s="1">
        <v>44498</v>
      </c>
    </row>
    <row r="3021" spans="1:6" x14ac:dyDescent="0.25">
      <c r="A3021">
        <v>6796354</v>
      </c>
      <c r="B3021" t="s">
        <v>3067</v>
      </c>
      <c r="C3021" t="str">
        <f>"9789402421149"</f>
        <v>9789402421149</v>
      </c>
      <c r="D3021" t="str">
        <f>"9789402421156"</f>
        <v>9789402421156</v>
      </c>
      <c r="E3021" t="s">
        <v>1458</v>
      </c>
      <c r="F3021" s="1">
        <v>44491</v>
      </c>
    </row>
    <row r="3022" spans="1:6" x14ac:dyDescent="0.25">
      <c r="A3022">
        <v>6796362</v>
      </c>
      <c r="B3022" t="s">
        <v>3068</v>
      </c>
      <c r="C3022" t="str">
        <f>""</f>
        <v/>
      </c>
      <c r="D3022" t="str">
        <f>"9789179290436"</f>
        <v>9789179290436</v>
      </c>
      <c r="E3022" t="s">
        <v>1268</v>
      </c>
      <c r="F3022" s="1">
        <v>44497</v>
      </c>
    </row>
    <row r="3023" spans="1:6" x14ac:dyDescent="0.25">
      <c r="A3023">
        <v>6796365</v>
      </c>
      <c r="B3023" t="s">
        <v>3069</v>
      </c>
      <c r="C3023" t="str">
        <f>""</f>
        <v/>
      </c>
      <c r="D3023" t="str">
        <f>"9789179290092"</f>
        <v>9789179290092</v>
      </c>
      <c r="E3023" t="s">
        <v>1268</v>
      </c>
      <c r="F3023" s="1">
        <v>44494</v>
      </c>
    </row>
    <row r="3024" spans="1:6" x14ac:dyDescent="0.25">
      <c r="A3024">
        <v>6796477</v>
      </c>
      <c r="B3024" t="s">
        <v>3070</v>
      </c>
      <c r="C3024" t="str">
        <f>"9783030821661"</f>
        <v>9783030821661</v>
      </c>
      <c r="D3024" t="str">
        <f>"9783030821678"</f>
        <v>9783030821678</v>
      </c>
      <c r="E3024" t="s">
        <v>756</v>
      </c>
      <c r="F3024" s="1">
        <v>44500</v>
      </c>
    </row>
    <row r="3025" spans="1:6" x14ac:dyDescent="0.25">
      <c r="A3025">
        <v>6796478</v>
      </c>
      <c r="B3025" t="s">
        <v>3071</v>
      </c>
      <c r="C3025" t="str">
        <f>"9783030807900"</f>
        <v>9783030807900</v>
      </c>
      <c r="D3025" t="str">
        <f>"9783030807917"</f>
        <v>9783030807917</v>
      </c>
      <c r="E3025" t="s">
        <v>756</v>
      </c>
      <c r="F3025" s="1">
        <v>44501</v>
      </c>
    </row>
    <row r="3026" spans="1:6" x14ac:dyDescent="0.25">
      <c r="A3026">
        <v>6796479</v>
      </c>
      <c r="B3026" t="s">
        <v>3072</v>
      </c>
      <c r="C3026" t="str">
        <f>"9783030803018"</f>
        <v>9783030803018</v>
      </c>
      <c r="D3026" t="str">
        <f>"9783030803025"</f>
        <v>9783030803025</v>
      </c>
      <c r="E3026" t="s">
        <v>756</v>
      </c>
      <c r="F3026" s="1">
        <v>44501</v>
      </c>
    </row>
    <row r="3027" spans="1:6" x14ac:dyDescent="0.25">
      <c r="A3027">
        <v>6797321</v>
      </c>
      <c r="B3027" t="s">
        <v>3073</v>
      </c>
      <c r="C3027" t="str">
        <f>"9780472130313"</f>
        <v>9780472130313</v>
      </c>
      <c r="D3027" t="str">
        <f>"9780472900756"</f>
        <v>9780472900756</v>
      </c>
      <c r="E3027" t="s">
        <v>689</v>
      </c>
      <c r="F3027" s="1">
        <v>42795</v>
      </c>
    </row>
    <row r="3028" spans="1:6" x14ac:dyDescent="0.25">
      <c r="A3028">
        <v>6798120</v>
      </c>
      <c r="B3028" t="s">
        <v>3074</v>
      </c>
      <c r="C3028" t="str">
        <f>"9783030892357"</f>
        <v>9783030892357</v>
      </c>
      <c r="D3028" t="str">
        <f>"9783030892364"</f>
        <v>9783030892364</v>
      </c>
      <c r="E3028" t="s">
        <v>756</v>
      </c>
      <c r="F3028" s="1">
        <v>44503</v>
      </c>
    </row>
    <row r="3029" spans="1:6" x14ac:dyDescent="0.25">
      <c r="A3029">
        <v>6798731</v>
      </c>
      <c r="B3029" t="s">
        <v>3075</v>
      </c>
      <c r="C3029" t="str">
        <f>"9783030885120"</f>
        <v>9783030885120</v>
      </c>
      <c r="D3029" t="str">
        <f>"9783030885137"</f>
        <v>9783030885137</v>
      </c>
      <c r="E3029" t="s">
        <v>756</v>
      </c>
      <c r="F3029" s="1">
        <v>44504</v>
      </c>
    </row>
    <row r="3030" spans="1:6" x14ac:dyDescent="0.25">
      <c r="A3030">
        <v>6798732</v>
      </c>
      <c r="B3030" t="s">
        <v>3076</v>
      </c>
      <c r="C3030" t="str">
        <f>"9783030714567"</f>
        <v>9783030714567</v>
      </c>
      <c r="D3030" t="str">
        <f>"9783030714574"</f>
        <v>9783030714574</v>
      </c>
      <c r="E3030" t="s">
        <v>756</v>
      </c>
      <c r="F3030" s="1">
        <v>44504</v>
      </c>
    </row>
    <row r="3031" spans="1:6" x14ac:dyDescent="0.25">
      <c r="A3031">
        <v>6798733</v>
      </c>
      <c r="B3031" t="s">
        <v>3077</v>
      </c>
      <c r="C3031" t="str">
        <f>"9783030805180"</f>
        <v>9783030805180</v>
      </c>
      <c r="D3031" t="str">
        <f>"9783030805197"</f>
        <v>9783030805197</v>
      </c>
      <c r="E3031" t="s">
        <v>756</v>
      </c>
      <c r="F3031" s="1">
        <v>44504</v>
      </c>
    </row>
    <row r="3032" spans="1:6" x14ac:dyDescent="0.25">
      <c r="A3032">
        <v>6798965</v>
      </c>
      <c r="B3032" t="s">
        <v>3078</v>
      </c>
      <c r="C3032" t="str">
        <f>"9789633863718"</f>
        <v>9789633863718</v>
      </c>
      <c r="D3032" t="str">
        <f>"9789633863701"</f>
        <v>9789633863701</v>
      </c>
      <c r="E3032" t="s">
        <v>576</v>
      </c>
      <c r="F3032" s="1">
        <v>44151</v>
      </c>
    </row>
    <row r="3033" spans="1:6" x14ac:dyDescent="0.25">
      <c r="A3033">
        <v>6798966</v>
      </c>
      <c r="B3033" t="s">
        <v>3079</v>
      </c>
      <c r="C3033" t="str">
        <f>"9789633863695"</f>
        <v>9789633863695</v>
      </c>
      <c r="D3033" t="str">
        <f>"9789633863688"</f>
        <v>9789633863688</v>
      </c>
      <c r="E3033" t="s">
        <v>576</v>
      </c>
      <c r="F3033" s="1">
        <v>44316</v>
      </c>
    </row>
    <row r="3034" spans="1:6" x14ac:dyDescent="0.25">
      <c r="A3034">
        <v>6798967</v>
      </c>
      <c r="B3034" t="s">
        <v>3080</v>
      </c>
      <c r="C3034" t="str">
        <f>"9789633863657"</f>
        <v>9789633863657</v>
      </c>
      <c r="D3034" t="str">
        <f>"9789633863640"</f>
        <v>9789633863640</v>
      </c>
      <c r="E3034" t="s">
        <v>576</v>
      </c>
      <c r="F3034" s="1">
        <v>44347</v>
      </c>
    </row>
    <row r="3035" spans="1:6" x14ac:dyDescent="0.25">
      <c r="A3035">
        <v>6798968</v>
      </c>
      <c r="B3035" t="s">
        <v>3081</v>
      </c>
      <c r="C3035" t="str">
        <f>"9789633863671"</f>
        <v>9789633863671</v>
      </c>
      <c r="D3035" t="str">
        <f>"9789633863664"</f>
        <v>9789633863664</v>
      </c>
      <c r="E3035" t="s">
        <v>576</v>
      </c>
      <c r="F3035" s="1">
        <v>44270</v>
      </c>
    </row>
    <row r="3036" spans="1:6" x14ac:dyDescent="0.25">
      <c r="A3036">
        <v>6799160</v>
      </c>
      <c r="B3036" t="s">
        <v>3082</v>
      </c>
      <c r="C3036" t="str">
        <f>"9781800641952"</f>
        <v>9781800641952</v>
      </c>
      <c r="D3036" t="str">
        <f>"9781800641969"</f>
        <v>9781800641969</v>
      </c>
      <c r="E3036" t="s">
        <v>580</v>
      </c>
      <c r="F3036" s="1">
        <v>44447</v>
      </c>
    </row>
    <row r="3037" spans="1:6" x14ac:dyDescent="0.25">
      <c r="A3037">
        <v>6799161</v>
      </c>
      <c r="B3037" t="s">
        <v>3083</v>
      </c>
      <c r="C3037" t="str">
        <f>"9781800642195"</f>
        <v>9781800642195</v>
      </c>
      <c r="D3037" t="str">
        <f>"9781800642201"</f>
        <v>9781800642201</v>
      </c>
      <c r="E3037" t="s">
        <v>580</v>
      </c>
      <c r="F3037" s="1">
        <v>44502</v>
      </c>
    </row>
    <row r="3038" spans="1:6" x14ac:dyDescent="0.25">
      <c r="A3038">
        <v>6799468</v>
      </c>
      <c r="B3038" t="s">
        <v>3084</v>
      </c>
      <c r="C3038" t="str">
        <f>"9783662636343"</f>
        <v>9783662636343</v>
      </c>
      <c r="D3038" t="str">
        <f>"9783662636350"</f>
        <v>9783662636350</v>
      </c>
      <c r="E3038" t="s">
        <v>1416</v>
      </c>
      <c r="F3038" s="1">
        <v>44506</v>
      </c>
    </row>
    <row r="3039" spans="1:6" x14ac:dyDescent="0.25">
      <c r="A3039">
        <v>6799470</v>
      </c>
      <c r="B3039" t="s">
        <v>3085</v>
      </c>
      <c r="C3039" t="str">
        <f>""</f>
        <v/>
      </c>
      <c r="D3039" t="str">
        <f>"9789179290955"</f>
        <v>9789179290955</v>
      </c>
      <c r="E3039" t="s">
        <v>1268</v>
      </c>
      <c r="F3039" s="1">
        <v>44494</v>
      </c>
    </row>
    <row r="3040" spans="1:6" x14ac:dyDescent="0.25">
      <c r="A3040">
        <v>6799473</v>
      </c>
      <c r="B3040" t="s">
        <v>3086</v>
      </c>
      <c r="C3040" t="str">
        <f>""</f>
        <v/>
      </c>
      <c r="D3040" t="str">
        <f>"9789179290672"</f>
        <v>9789179290672</v>
      </c>
      <c r="E3040" t="s">
        <v>1268</v>
      </c>
      <c r="F3040" s="1">
        <v>44505</v>
      </c>
    </row>
    <row r="3041" spans="1:6" x14ac:dyDescent="0.25">
      <c r="A3041">
        <v>6799474</v>
      </c>
      <c r="B3041" t="s">
        <v>3087</v>
      </c>
      <c r="C3041" t="str">
        <f>""</f>
        <v/>
      </c>
      <c r="D3041" t="str">
        <f>"9789179296636"</f>
        <v>9789179296636</v>
      </c>
      <c r="E3041" t="s">
        <v>1268</v>
      </c>
      <c r="F3041" s="1">
        <v>44501</v>
      </c>
    </row>
    <row r="3042" spans="1:6" x14ac:dyDescent="0.25">
      <c r="A3042">
        <v>6799475</v>
      </c>
      <c r="B3042" t="s">
        <v>3088</v>
      </c>
      <c r="C3042" t="str">
        <f>""</f>
        <v/>
      </c>
      <c r="D3042" t="str">
        <f>"9789179291037"</f>
        <v>9789179291037</v>
      </c>
      <c r="E3042" t="s">
        <v>1268</v>
      </c>
      <c r="F3042" s="1">
        <v>44502</v>
      </c>
    </row>
    <row r="3043" spans="1:6" x14ac:dyDescent="0.25">
      <c r="A3043">
        <v>6799476</v>
      </c>
      <c r="B3043" t="s">
        <v>3089</v>
      </c>
      <c r="C3043" t="str">
        <f>""</f>
        <v/>
      </c>
      <c r="D3043" t="str">
        <f>"9789179290429"</f>
        <v>9789179290429</v>
      </c>
      <c r="E3043" t="s">
        <v>1268</v>
      </c>
      <c r="F3043" s="1">
        <v>44501</v>
      </c>
    </row>
    <row r="3044" spans="1:6" x14ac:dyDescent="0.25">
      <c r="A3044">
        <v>6799477</v>
      </c>
      <c r="B3044" t="s">
        <v>3090</v>
      </c>
      <c r="C3044" t="str">
        <f>""</f>
        <v/>
      </c>
      <c r="D3044" t="str">
        <f>"9789179290641"</f>
        <v>9789179290641</v>
      </c>
      <c r="E3044" t="s">
        <v>1268</v>
      </c>
      <c r="F3044" s="1">
        <v>44497</v>
      </c>
    </row>
    <row r="3045" spans="1:6" x14ac:dyDescent="0.25">
      <c r="A3045">
        <v>6799478</v>
      </c>
      <c r="B3045" t="s">
        <v>3091</v>
      </c>
      <c r="C3045" t="str">
        <f>""</f>
        <v/>
      </c>
      <c r="D3045" t="str">
        <f>"9789179290610"</f>
        <v>9789179290610</v>
      </c>
      <c r="E3045" t="s">
        <v>1268</v>
      </c>
      <c r="F3045" s="1">
        <v>44495</v>
      </c>
    </row>
    <row r="3046" spans="1:6" x14ac:dyDescent="0.25">
      <c r="A3046">
        <v>6799479</v>
      </c>
      <c r="B3046" t="s">
        <v>3092</v>
      </c>
      <c r="C3046" t="str">
        <f>""</f>
        <v/>
      </c>
      <c r="D3046" t="str">
        <f>"9789179291433"</f>
        <v>9789179291433</v>
      </c>
      <c r="E3046" t="s">
        <v>1268</v>
      </c>
      <c r="F3046" s="1">
        <v>44502</v>
      </c>
    </row>
    <row r="3047" spans="1:6" x14ac:dyDescent="0.25">
      <c r="A3047">
        <v>6803040</v>
      </c>
      <c r="B3047" t="s">
        <v>3093</v>
      </c>
      <c r="C3047" t="str">
        <f>"9789811652097"</f>
        <v>9789811652097</v>
      </c>
      <c r="D3047" t="str">
        <f>"9789811652103"</f>
        <v>9789811652103</v>
      </c>
      <c r="E3047" t="s">
        <v>1177</v>
      </c>
      <c r="F3047" s="1">
        <v>44511</v>
      </c>
    </row>
    <row r="3048" spans="1:6" x14ac:dyDescent="0.25">
      <c r="A3048">
        <v>6803041</v>
      </c>
      <c r="B3048" t="s">
        <v>3094</v>
      </c>
      <c r="C3048" t="str">
        <f>"9783030774509"</f>
        <v>9783030774509</v>
      </c>
      <c r="D3048" t="str">
        <f>"9783030774516"</f>
        <v>9783030774516</v>
      </c>
      <c r="E3048" t="s">
        <v>756</v>
      </c>
      <c r="F3048" s="1">
        <v>44512</v>
      </c>
    </row>
    <row r="3049" spans="1:6" x14ac:dyDescent="0.25">
      <c r="A3049">
        <v>6803042</v>
      </c>
      <c r="B3049" t="s">
        <v>3095</v>
      </c>
      <c r="C3049" t="str">
        <f>"9783030858018"</f>
        <v>9783030858018</v>
      </c>
      <c r="D3049" t="str">
        <f>"9783030858025"</f>
        <v>9783030858025</v>
      </c>
      <c r="E3049" t="s">
        <v>756</v>
      </c>
      <c r="F3049" s="1">
        <v>44511</v>
      </c>
    </row>
    <row r="3050" spans="1:6" x14ac:dyDescent="0.25">
      <c r="A3050">
        <v>6803553</v>
      </c>
      <c r="B3050" t="s">
        <v>3096</v>
      </c>
      <c r="C3050" t="str">
        <f>""</f>
        <v/>
      </c>
      <c r="D3050" t="str">
        <f>"9789048552566"</f>
        <v>9789048552566</v>
      </c>
      <c r="E3050" t="s">
        <v>59</v>
      </c>
      <c r="F3050" s="1">
        <v>44528</v>
      </c>
    </row>
    <row r="3051" spans="1:6" x14ac:dyDescent="0.25">
      <c r="A3051">
        <v>6803856</v>
      </c>
      <c r="B3051" t="s">
        <v>3097</v>
      </c>
      <c r="C3051" t="str">
        <f>"9783030786816"</f>
        <v>9783030786816</v>
      </c>
      <c r="D3051" t="str">
        <f>"9783030786823"</f>
        <v>9783030786823</v>
      </c>
      <c r="E3051" t="s">
        <v>756</v>
      </c>
      <c r="F3051" s="1">
        <v>44513</v>
      </c>
    </row>
    <row r="3052" spans="1:6" x14ac:dyDescent="0.25">
      <c r="A3052">
        <v>6803857</v>
      </c>
      <c r="B3052" t="s">
        <v>3098</v>
      </c>
      <c r="C3052" t="str">
        <f>"9783030857950"</f>
        <v>9783030857950</v>
      </c>
      <c r="D3052" t="str">
        <f>"9783030857967"</f>
        <v>9783030857967</v>
      </c>
      <c r="E3052" t="s">
        <v>756</v>
      </c>
      <c r="F3052" s="1">
        <v>44513</v>
      </c>
    </row>
    <row r="3053" spans="1:6" x14ac:dyDescent="0.25">
      <c r="A3053">
        <v>6803858</v>
      </c>
      <c r="B3053" t="s">
        <v>3099</v>
      </c>
      <c r="C3053" t="str">
        <f>"9789811668302"</f>
        <v>9789811668302</v>
      </c>
      <c r="D3053" t="str">
        <f>"9789811668319"</f>
        <v>9789811668319</v>
      </c>
      <c r="E3053" t="s">
        <v>1177</v>
      </c>
      <c r="F3053" s="1">
        <v>44513</v>
      </c>
    </row>
    <row r="3054" spans="1:6" x14ac:dyDescent="0.25">
      <c r="A3054">
        <v>6803859</v>
      </c>
      <c r="B3054" t="s">
        <v>3100</v>
      </c>
      <c r="C3054" t="str">
        <f>"9789811658426"</f>
        <v>9789811658426</v>
      </c>
      <c r="D3054" t="str">
        <f>"9789811658433"</f>
        <v>9789811658433</v>
      </c>
      <c r="E3054" t="s">
        <v>1177</v>
      </c>
      <c r="F3054" s="1">
        <v>44513</v>
      </c>
    </row>
    <row r="3055" spans="1:6" x14ac:dyDescent="0.25">
      <c r="A3055">
        <v>6803962</v>
      </c>
      <c r="B3055" t="s">
        <v>3101</v>
      </c>
      <c r="C3055" t="str">
        <f>""</f>
        <v/>
      </c>
      <c r="D3055" t="str">
        <f>"9789179290122"</f>
        <v>9789179290122</v>
      </c>
      <c r="E3055" t="s">
        <v>1268</v>
      </c>
      <c r="F3055" s="1">
        <v>44510</v>
      </c>
    </row>
    <row r="3056" spans="1:6" x14ac:dyDescent="0.25">
      <c r="A3056">
        <v>6803965</v>
      </c>
      <c r="B3056" t="s">
        <v>3102</v>
      </c>
      <c r="C3056" t="str">
        <f>""</f>
        <v/>
      </c>
      <c r="D3056" t="str">
        <f>"9789179290566"</f>
        <v>9789179290566</v>
      </c>
      <c r="E3056" t="s">
        <v>1268</v>
      </c>
      <c r="F3056" s="1">
        <v>44512</v>
      </c>
    </row>
    <row r="3057" spans="1:6" x14ac:dyDescent="0.25">
      <c r="A3057">
        <v>6803966</v>
      </c>
      <c r="B3057" t="s">
        <v>3103</v>
      </c>
      <c r="C3057" t="str">
        <f>""</f>
        <v/>
      </c>
      <c r="D3057" t="str">
        <f>"9789179290696"</f>
        <v>9789179290696</v>
      </c>
      <c r="E3057" t="s">
        <v>1268</v>
      </c>
      <c r="F3057" s="1">
        <v>44505</v>
      </c>
    </row>
    <row r="3058" spans="1:6" x14ac:dyDescent="0.25">
      <c r="A3058">
        <v>6803969</v>
      </c>
      <c r="B3058" t="s">
        <v>3104</v>
      </c>
      <c r="C3058" t="str">
        <f>""</f>
        <v/>
      </c>
      <c r="D3058" t="str">
        <f>"9789179290191"</f>
        <v>9789179290191</v>
      </c>
      <c r="E3058" t="s">
        <v>1268</v>
      </c>
      <c r="F3058" s="1">
        <v>44508</v>
      </c>
    </row>
    <row r="3059" spans="1:6" x14ac:dyDescent="0.25">
      <c r="A3059">
        <v>6804318</v>
      </c>
      <c r="B3059" t="s">
        <v>3105</v>
      </c>
      <c r="C3059" t="str">
        <f>"9781438485911"</f>
        <v>9781438485911</v>
      </c>
      <c r="D3059" t="str">
        <f>"9781438485928"</f>
        <v>9781438485928</v>
      </c>
      <c r="E3059" t="s">
        <v>684</v>
      </c>
      <c r="F3059" s="1">
        <v>44531</v>
      </c>
    </row>
    <row r="3060" spans="1:6" x14ac:dyDescent="0.25">
      <c r="A3060">
        <v>6804703</v>
      </c>
      <c r="B3060" t="s">
        <v>3106</v>
      </c>
      <c r="C3060" t="str">
        <f>"9789027209900"</f>
        <v>9789027209900</v>
      </c>
      <c r="D3060" t="str">
        <f>"9789027258489"</f>
        <v>9789027258489</v>
      </c>
      <c r="E3060" t="s">
        <v>413</v>
      </c>
      <c r="F3060" s="1">
        <v>44526</v>
      </c>
    </row>
    <row r="3061" spans="1:6" x14ac:dyDescent="0.25">
      <c r="A3061">
        <v>6805380</v>
      </c>
      <c r="B3061" t="s">
        <v>3107</v>
      </c>
      <c r="C3061" t="str">
        <f>"9789811662522"</f>
        <v>9789811662522</v>
      </c>
      <c r="D3061" t="str">
        <f>"9789811662539"</f>
        <v>9789811662539</v>
      </c>
      <c r="E3061" t="s">
        <v>1177</v>
      </c>
      <c r="F3061" s="1">
        <v>44516</v>
      </c>
    </row>
    <row r="3062" spans="1:6" x14ac:dyDescent="0.25">
      <c r="A3062">
        <v>6805754</v>
      </c>
      <c r="B3062" t="s">
        <v>3108</v>
      </c>
      <c r="C3062" t="str">
        <f>"9783030737146"</f>
        <v>9783030737146</v>
      </c>
      <c r="D3062" t="str">
        <f>"9783030737153"</f>
        <v>9783030737153</v>
      </c>
      <c r="E3062" t="s">
        <v>756</v>
      </c>
      <c r="F3062" s="1">
        <v>44516</v>
      </c>
    </row>
    <row r="3063" spans="1:6" x14ac:dyDescent="0.25">
      <c r="A3063">
        <v>6806666</v>
      </c>
      <c r="B3063" t="s">
        <v>3109</v>
      </c>
      <c r="C3063" t="str">
        <f>""</f>
        <v/>
      </c>
      <c r="D3063" t="str">
        <f>"9789179291235"</f>
        <v>9789179291235</v>
      </c>
      <c r="E3063" t="s">
        <v>1268</v>
      </c>
      <c r="F3063" s="1">
        <v>44517</v>
      </c>
    </row>
    <row r="3064" spans="1:6" x14ac:dyDescent="0.25">
      <c r="A3064">
        <v>6806668</v>
      </c>
      <c r="B3064" t="s">
        <v>3110</v>
      </c>
      <c r="C3064" t="str">
        <f>""</f>
        <v/>
      </c>
      <c r="D3064" t="str">
        <f>"9789179290498"</f>
        <v>9789179290498</v>
      </c>
      <c r="E3064" t="s">
        <v>1268</v>
      </c>
      <c r="F3064" s="1">
        <v>44515</v>
      </c>
    </row>
    <row r="3065" spans="1:6" x14ac:dyDescent="0.25">
      <c r="A3065">
        <v>6806669</v>
      </c>
      <c r="B3065" t="s">
        <v>3111</v>
      </c>
      <c r="C3065" t="str">
        <f>""</f>
        <v/>
      </c>
      <c r="D3065" t="str">
        <f>"9789179290412"</f>
        <v>9789179290412</v>
      </c>
      <c r="E3065" t="s">
        <v>1268</v>
      </c>
      <c r="F3065" s="1">
        <v>44515</v>
      </c>
    </row>
    <row r="3066" spans="1:6" x14ac:dyDescent="0.25">
      <c r="A3066">
        <v>6806671</v>
      </c>
      <c r="B3066" t="s">
        <v>3112</v>
      </c>
      <c r="C3066" t="str">
        <f>""</f>
        <v/>
      </c>
      <c r="D3066" t="str">
        <f>"9789179290368"</f>
        <v>9789179290368</v>
      </c>
      <c r="E3066" t="s">
        <v>1268</v>
      </c>
      <c r="F3066" s="1">
        <v>44467</v>
      </c>
    </row>
    <row r="3067" spans="1:6" x14ac:dyDescent="0.25">
      <c r="A3067">
        <v>6808492</v>
      </c>
      <c r="B3067" t="s">
        <v>3113</v>
      </c>
      <c r="C3067" t="str">
        <f>"9789027210135"</f>
        <v>9789027210135</v>
      </c>
      <c r="D3067" t="str">
        <f>"9789027258281"</f>
        <v>9789027258281</v>
      </c>
      <c r="E3067" t="s">
        <v>413</v>
      </c>
      <c r="F3067" s="1">
        <v>44546</v>
      </c>
    </row>
    <row r="3068" spans="1:6" x14ac:dyDescent="0.25">
      <c r="A3068">
        <v>6808949</v>
      </c>
      <c r="B3068" t="s">
        <v>3114</v>
      </c>
      <c r="C3068" t="str">
        <f>"9789463726047"</f>
        <v>9789463726047</v>
      </c>
      <c r="D3068" t="str">
        <f>"9789048552801"</f>
        <v>9789048552801</v>
      </c>
      <c r="E3068" t="s">
        <v>59</v>
      </c>
      <c r="F3068" s="1">
        <v>44545</v>
      </c>
    </row>
    <row r="3069" spans="1:6" x14ac:dyDescent="0.25">
      <c r="A3069">
        <v>6808955</v>
      </c>
      <c r="B3069" t="s">
        <v>3115</v>
      </c>
      <c r="C3069" t="str">
        <f>"9781789247541"</f>
        <v>9781789247541</v>
      </c>
      <c r="D3069" t="str">
        <f>"9781789247565"</f>
        <v>9781789247565</v>
      </c>
      <c r="E3069" t="s">
        <v>1534</v>
      </c>
      <c r="F3069" s="1">
        <v>44540</v>
      </c>
    </row>
    <row r="3070" spans="1:6" x14ac:dyDescent="0.25">
      <c r="A3070">
        <v>6810668</v>
      </c>
      <c r="B3070" t="s">
        <v>3116</v>
      </c>
      <c r="C3070" t="str">
        <f>""</f>
        <v/>
      </c>
      <c r="D3070" t="str">
        <f>"9782759233533"</f>
        <v>9782759233533</v>
      </c>
      <c r="E3070" t="s">
        <v>626</v>
      </c>
      <c r="F3070" s="1">
        <v>44518</v>
      </c>
    </row>
    <row r="3071" spans="1:6" x14ac:dyDescent="0.25">
      <c r="A3071">
        <v>6811535</v>
      </c>
      <c r="B3071" t="s">
        <v>3117</v>
      </c>
      <c r="C3071" t="str">
        <f>""</f>
        <v/>
      </c>
      <c r="D3071" t="str">
        <f>"9789048552900"</f>
        <v>9789048552900</v>
      </c>
      <c r="E3071" t="s">
        <v>59</v>
      </c>
      <c r="F3071" s="1">
        <v>44536</v>
      </c>
    </row>
    <row r="3072" spans="1:6" x14ac:dyDescent="0.25">
      <c r="A3072">
        <v>6811598</v>
      </c>
      <c r="B3072" t="s">
        <v>3118</v>
      </c>
      <c r="C3072" t="str">
        <f>"9783030820718"</f>
        <v>9783030820718</v>
      </c>
      <c r="D3072" t="str">
        <f>"9783030820725"</f>
        <v>9783030820725</v>
      </c>
      <c r="E3072" t="s">
        <v>756</v>
      </c>
      <c r="F3072" s="1">
        <v>44517</v>
      </c>
    </row>
    <row r="3073" spans="1:6" x14ac:dyDescent="0.25">
      <c r="A3073">
        <v>6811599</v>
      </c>
      <c r="B3073" t="s">
        <v>3119</v>
      </c>
      <c r="C3073" t="str">
        <f>"9789811665059"</f>
        <v>9789811665059</v>
      </c>
      <c r="D3073" t="str">
        <f>"9789811665066"</f>
        <v>9789811665066</v>
      </c>
      <c r="E3073" t="s">
        <v>1177</v>
      </c>
      <c r="F3073" s="1">
        <v>44517</v>
      </c>
    </row>
    <row r="3074" spans="1:6" x14ac:dyDescent="0.25">
      <c r="A3074">
        <v>6811600</v>
      </c>
      <c r="B3074" t="s">
        <v>3120</v>
      </c>
      <c r="C3074" t="str">
        <f>"9783030745431"</f>
        <v>9783030745431</v>
      </c>
      <c r="D3074" t="str">
        <f>"9783030745448"</f>
        <v>9783030745448</v>
      </c>
      <c r="E3074" t="s">
        <v>756</v>
      </c>
      <c r="F3074" s="1">
        <v>44517</v>
      </c>
    </row>
    <row r="3075" spans="1:6" x14ac:dyDescent="0.25">
      <c r="A3075">
        <v>6811601</v>
      </c>
      <c r="B3075" t="s">
        <v>3121</v>
      </c>
      <c r="C3075" t="str">
        <f>"9783658359256"</f>
        <v>9783658359256</v>
      </c>
      <c r="D3075" t="str">
        <f>"9783658359263"</f>
        <v>9783658359263</v>
      </c>
      <c r="E3075" t="s">
        <v>1391</v>
      </c>
      <c r="F3075" s="1">
        <v>44517</v>
      </c>
    </row>
    <row r="3076" spans="1:6" x14ac:dyDescent="0.25">
      <c r="A3076">
        <v>6811602</v>
      </c>
      <c r="B3076" t="s">
        <v>3122</v>
      </c>
      <c r="C3076" t="str">
        <f>"9783658353162"</f>
        <v>9783658353162</v>
      </c>
      <c r="D3076" t="str">
        <f>"9783658353179"</f>
        <v>9783658353179</v>
      </c>
      <c r="E3076" t="s">
        <v>1391</v>
      </c>
      <c r="F3076" s="1">
        <v>44518</v>
      </c>
    </row>
    <row r="3077" spans="1:6" x14ac:dyDescent="0.25">
      <c r="A3077">
        <v>6811603</v>
      </c>
      <c r="B3077" t="s">
        <v>3123</v>
      </c>
      <c r="C3077" t="str">
        <f>"9783030845698"</f>
        <v>9783030845698</v>
      </c>
      <c r="D3077" t="str">
        <f>"9783030845704"</f>
        <v>9783030845704</v>
      </c>
      <c r="E3077" t="s">
        <v>756</v>
      </c>
      <c r="F3077" s="1">
        <v>44519</v>
      </c>
    </row>
    <row r="3078" spans="1:6" x14ac:dyDescent="0.25">
      <c r="A3078">
        <v>6811604</v>
      </c>
      <c r="B3078" t="s">
        <v>3124</v>
      </c>
      <c r="C3078" t="str">
        <f>"9783030856670"</f>
        <v>9783030856670</v>
      </c>
      <c r="D3078" t="str">
        <f>"9783030856687"</f>
        <v>9783030856687</v>
      </c>
      <c r="E3078" t="s">
        <v>756</v>
      </c>
      <c r="F3078" s="1">
        <v>44519</v>
      </c>
    </row>
    <row r="3079" spans="1:6" x14ac:dyDescent="0.25">
      <c r="A3079">
        <v>6811605</v>
      </c>
      <c r="B3079" t="s">
        <v>3125</v>
      </c>
      <c r="C3079" t="str">
        <f>"9783030861438"</f>
        <v>9783030861438</v>
      </c>
      <c r="D3079" t="str">
        <f>"9783030861445"</f>
        <v>9783030861445</v>
      </c>
      <c r="E3079" t="s">
        <v>756</v>
      </c>
      <c r="F3079" s="1">
        <v>44524</v>
      </c>
    </row>
    <row r="3080" spans="1:6" x14ac:dyDescent="0.25">
      <c r="A3080">
        <v>6811606</v>
      </c>
      <c r="B3080" t="s">
        <v>3126</v>
      </c>
      <c r="C3080" t="str">
        <f>"9789811662379"</f>
        <v>9789811662379</v>
      </c>
      <c r="D3080" t="str">
        <f>"9789811662386"</f>
        <v>9789811662386</v>
      </c>
      <c r="E3080" t="s">
        <v>1177</v>
      </c>
      <c r="F3080" s="1">
        <v>44524</v>
      </c>
    </row>
    <row r="3081" spans="1:6" x14ac:dyDescent="0.25">
      <c r="A3081">
        <v>6811607</v>
      </c>
      <c r="B3081" t="s">
        <v>3127</v>
      </c>
      <c r="C3081" t="str">
        <f>"9783030852139"</f>
        <v>9783030852139</v>
      </c>
      <c r="D3081" t="str">
        <f>"9783030852146"</f>
        <v>9783030852146</v>
      </c>
      <c r="E3081" t="s">
        <v>756</v>
      </c>
      <c r="F3081" s="1">
        <v>44524</v>
      </c>
    </row>
    <row r="3082" spans="1:6" x14ac:dyDescent="0.25">
      <c r="A3082">
        <v>6811608</v>
      </c>
      <c r="B3082" t="s">
        <v>3128</v>
      </c>
      <c r="C3082" t="str">
        <f>"9783030812256"</f>
        <v>9783030812256</v>
      </c>
      <c r="D3082" t="str">
        <f>"9783030812263"</f>
        <v>9783030812263</v>
      </c>
      <c r="E3082" t="s">
        <v>756</v>
      </c>
      <c r="F3082" s="1">
        <v>44524</v>
      </c>
    </row>
    <row r="3083" spans="1:6" x14ac:dyDescent="0.25">
      <c r="A3083">
        <v>6812058</v>
      </c>
      <c r="B3083" t="s">
        <v>3129</v>
      </c>
      <c r="C3083" t="str">
        <f>"9781789247664"</f>
        <v>9781789247664</v>
      </c>
      <c r="D3083" t="str">
        <f>"9781789247688"</f>
        <v>9781789247688</v>
      </c>
      <c r="E3083" t="s">
        <v>1534</v>
      </c>
      <c r="F3083" s="1">
        <v>44560</v>
      </c>
    </row>
    <row r="3084" spans="1:6" x14ac:dyDescent="0.25">
      <c r="A3084">
        <v>6812599</v>
      </c>
      <c r="B3084" t="s">
        <v>3130</v>
      </c>
      <c r="C3084" t="str">
        <f>"9783030834029"</f>
        <v>9783030834029</v>
      </c>
      <c r="D3084" t="str">
        <f>"9783030834036"</f>
        <v>9783030834036</v>
      </c>
      <c r="E3084" t="s">
        <v>756</v>
      </c>
      <c r="F3084" s="1">
        <v>44525</v>
      </c>
    </row>
    <row r="3085" spans="1:6" x14ac:dyDescent="0.25">
      <c r="A3085">
        <v>6812600</v>
      </c>
      <c r="B3085" t="s">
        <v>3131</v>
      </c>
      <c r="C3085" t="str">
        <f>"9783030807665"</f>
        <v>9783030807665</v>
      </c>
      <c r="D3085" t="str">
        <f>"9783030807672"</f>
        <v>9783030807672</v>
      </c>
      <c r="E3085" t="s">
        <v>756</v>
      </c>
      <c r="F3085" s="1">
        <v>44525</v>
      </c>
    </row>
    <row r="3086" spans="1:6" x14ac:dyDescent="0.25">
      <c r="A3086">
        <v>6812601</v>
      </c>
      <c r="B3086" t="s">
        <v>3132</v>
      </c>
      <c r="C3086" t="str">
        <f>"9783030807863"</f>
        <v>9783030807863</v>
      </c>
      <c r="D3086" t="str">
        <f>"9783030807870"</f>
        <v>9783030807870</v>
      </c>
      <c r="E3086" t="s">
        <v>756</v>
      </c>
      <c r="F3086" s="1">
        <v>44527</v>
      </c>
    </row>
    <row r="3087" spans="1:6" x14ac:dyDescent="0.25">
      <c r="A3087">
        <v>6816744</v>
      </c>
      <c r="B3087" t="s">
        <v>3133</v>
      </c>
      <c r="C3087" t="str">
        <f>"9789811663154"</f>
        <v>9789811663154</v>
      </c>
      <c r="D3087" t="str">
        <f>"9789811663161"</f>
        <v>9789811663161</v>
      </c>
      <c r="E3087" t="s">
        <v>1177</v>
      </c>
      <c r="F3087" s="1">
        <v>44527</v>
      </c>
    </row>
    <row r="3088" spans="1:6" x14ac:dyDescent="0.25">
      <c r="A3088">
        <v>6816745</v>
      </c>
      <c r="B3088" t="s">
        <v>3134</v>
      </c>
      <c r="C3088" t="str">
        <f>"9783662634486"</f>
        <v>9783662634486</v>
      </c>
      <c r="D3088" t="str">
        <f>"9783662634493"</f>
        <v>9783662634493</v>
      </c>
      <c r="E3088" t="s">
        <v>1416</v>
      </c>
      <c r="F3088" s="1">
        <v>44527</v>
      </c>
    </row>
    <row r="3089" spans="1:6" x14ac:dyDescent="0.25">
      <c r="A3089">
        <v>6816746</v>
      </c>
      <c r="B3089" t="s">
        <v>3135</v>
      </c>
      <c r="C3089" t="str">
        <f>"9783030847166"</f>
        <v>9783030847166</v>
      </c>
      <c r="D3089" t="str">
        <f>"9783030847173"</f>
        <v>9783030847173</v>
      </c>
      <c r="E3089" t="s">
        <v>756</v>
      </c>
      <c r="F3089" s="1">
        <v>44527</v>
      </c>
    </row>
    <row r="3090" spans="1:6" x14ac:dyDescent="0.25">
      <c r="A3090">
        <v>6816754</v>
      </c>
      <c r="B3090" t="s">
        <v>3136</v>
      </c>
      <c r="C3090" t="str">
        <f>""</f>
        <v/>
      </c>
      <c r="D3090" t="str">
        <f>"9789179290542"</f>
        <v>9789179290542</v>
      </c>
      <c r="E3090" t="s">
        <v>1268</v>
      </c>
      <c r="F3090" s="1">
        <v>44524</v>
      </c>
    </row>
    <row r="3091" spans="1:6" x14ac:dyDescent="0.25">
      <c r="A3091">
        <v>6819342</v>
      </c>
      <c r="B3091" t="s">
        <v>3137</v>
      </c>
      <c r="C3091" t="str">
        <f>"9783030868109"</f>
        <v>9783030868109</v>
      </c>
      <c r="D3091" t="str">
        <f>"9783030868116"</f>
        <v>9783030868116</v>
      </c>
      <c r="E3091" t="s">
        <v>756</v>
      </c>
      <c r="F3091" s="1">
        <v>44530</v>
      </c>
    </row>
    <row r="3092" spans="1:6" x14ac:dyDescent="0.25">
      <c r="A3092">
        <v>6819668</v>
      </c>
      <c r="B3092" t="s">
        <v>3138</v>
      </c>
      <c r="C3092" t="str">
        <f>""</f>
        <v/>
      </c>
      <c r="D3092" t="str">
        <f>"9782759233489"</f>
        <v>9782759233489</v>
      </c>
      <c r="E3092" t="s">
        <v>626</v>
      </c>
      <c r="F3092" s="1">
        <v>44532</v>
      </c>
    </row>
    <row r="3093" spans="1:6" x14ac:dyDescent="0.25">
      <c r="A3093">
        <v>6819941</v>
      </c>
      <c r="B3093" t="s">
        <v>3139</v>
      </c>
      <c r="C3093" t="str">
        <f>"9780472070343"</f>
        <v>9780472070343</v>
      </c>
      <c r="D3093" t="str">
        <f>"9780472900480"</f>
        <v>9780472900480</v>
      </c>
      <c r="E3093" t="s">
        <v>689</v>
      </c>
      <c r="F3093" s="1">
        <v>39517</v>
      </c>
    </row>
    <row r="3094" spans="1:6" x14ac:dyDescent="0.25">
      <c r="A3094">
        <v>6819943</v>
      </c>
      <c r="B3094" t="s">
        <v>3140</v>
      </c>
      <c r="C3094" t="str">
        <f>"9780472070435"</f>
        <v>9780472070435</v>
      </c>
      <c r="D3094" t="str">
        <f>"9780472900510"</f>
        <v>9780472900510</v>
      </c>
      <c r="E3094" t="s">
        <v>689</v>
      </c>
      <c r="F3094" s="1">
        <v>39591</v>
      </c>
    </row>
    <row r="3095" spans="1:6" x14ac:dyDescent="0.25">
      <c r="A3095">
        <v>6819944</v>
      </c>
      <c r="B3095" t="s">
        <v>3141</v>
      </c>
      <c r="C3095" t="str">
        <f>"9780472071623"</f>
        <v>9780472071623</v>
      </c>
      <c r="D3095" t="str">
        <f>"9780472900336"</f>
        <v>9780472900336</v>
      </c>
      <c r="E3095" t="s">
        <v>689</v>
      </c>
      <c r="F3095" s="1">
        <v>40911</v>
      </c>
    </row>
    <row r="3096" spans="1:6" x14ac:dyDescent="0.25">
      <c r="A3096">
        <v>6819945</v>
      </c>
      <c r="B3096" t="s">
        <v>3142</v>
      </c>
      <c r="C3096" t="str">
        <f>"9780472132126"</f>
        <v>9780472132126</v>
      </c>
      <c r="D3096" t="str">
        <f>"9780472902392"</f>
        <v>9780472902392</v>
      </c>
      <c r="E3096" t="s">
        <v>689</v>
      </c>
      <c r="F3096" s="1">
        <v>44165</v>
      </c>
    </row>
    <row r="3097" spans="1:6" x14ac:dyDescent="0.25">
      <c r="A3097">
        <v>6819947</v>
      </c>
      <c r="B3097" t="s">
        <v>3143</v>
      </c>
      <c r="C3097" t="str">
        <f>"9780472073146"</f>
        <v>9780472073146</v>
      </c>
      <c r="D3097" t="str">
        <f>"9780472900589"</f>
        <v>9780472900589</v>
      </c>
      <c r="E3097" t="s">
        <v>689</v>
      </c>
      <c r="F3097" s="1">
        <v>42534</v>
      </c>
    </row>
    <row r="3098" spans="1:6" x14ac:dyDescent="0.25">
      <c r="A3098">
        <v>6819948</v>
      </c>
      <c r="B3098" t="s">
        <v>3144</v>
      </c>
      <c r="C3098" t="str">
        <f>"9780472070329"</f>
        <v>9780472070329</v>
      </c>
      <c r="D3098" t="str">
        <f>"9780472900497"</f>
        <v>9780472900497</v>
      </c>
      <c r="E3098" t="s">
        <v>689</v>
      </c>
      <c r="F3098" s="1">
        <v>39506</v>
      </c>
    </row>
    <row r="3099" spans="1:6" x14ac:dyDescent="0.25">
      <c r="A3099">
        <v>6819949</v>
      </c>
      <c r="B3099" t="s">
        <v>3145</v>
      </c>
      <c r="C3099" t="str">
        <f>"9780472071494"</f>
        <v>9780472071494</v>
      </c>
      <c r="D3099" t="str">
        <f>"9780472900329"</f>
        <v>9780472900329</v>
      </c>
      <c r="E3099" t="s">
        <v>689</v>
      </c>
      <c r="F3099" s="1">
        <v>40689</v>
      </c>
    </row>
    <row r="3100" spans="1:6" x14ac:dyDescent="0.25">
      <c r="A3100">
        <v>6819951</v>
      </c>
      <c r="B3100" t="s">
        <v>3146</v>
      </c>
      <c r="C3100" t="str">
        <f>"9780472071098"</f>
        <v>9780472071098</v>
      </c>
      <c r="D3100" t="str">
        <f>"9780472900374"</f>
        <v>9780472900374</v>
      </c>
      <c r="E3100" t="s">
        <v>689</v>
      </c>
      <c r="F3100" s="1">
        <v>40423</v>
      </c>
    </row>
    <row r="3101" spans="1:6" x14ac:dyDescent="0.25">
      <c r="A3101">
        <v>6819993</v>
      </c>
      <c r="B3101" t="s">
        <v>3147</v>
      </c>
      <c r="C3101" t="str">
        <f>"9783658361402"</f>
        <v>9783658361402</v>
      </c>
      <c r="D3101" t="str">
        <f>"9783658361419"</f>
        <v>9783658361419</v>
      </c>
      <c r="E3101" t="s">
        <v>1391</v>
      </c>
      <c r="F3101" s="1">
        <v>44532</v>
      </c>
    </row>
    <row r="3102" spans="1:6" x14ac:dyDescent="0.25">
      <c r="A3102">
        <v>6819994</v>
      </c>
      <c r="B3102" t="s">
        <v>3148</v>
      </c>
      <c r="C3102" t="str">
        <f>"9789811657269"</f>
        <v>9789811657269</v>
      </c>
      <c r="D3102" t="str">
        <f>"9789811657276"</f>
        <v>9789811657276</v>
      </c>
      <c r="E3102" t="s">
        <v>1177</v>
      </c>
      <c r="F3102" s="1">
        <v>44532</v>
      </c>
    </row>
    <row r="3103" spans="1:6" x14ac:dyDescent="0.25">
      <c r="A3103">
        <v>6819995</v>
      </c>
      <c r="B3103" t="s">
        <v>3149</v>
      </c>
      <c r="C3103" t="str">
        <f>"9789811625237"</f>
        <v>9789811625237</v>
      </c>
      <c r="D3103" t="str">
        <f>"9789811625244"</f>
        <v>9789811625244</v>
      </c>
      <c r="E3103" t="s">
        <v>1177</v>
      </c>
      <c r="F3103" s="1">
        <v>44532</v>
      </c>
    </row>
    <row r="3104" spans="1:6" x14ac:dyDescent="0.25">
      <c r="A3104">
        <v>6819996</v>
      </c>
      <c r="B3104" t="s">
        <v>3150</v>
      </c>
      <c r="C3104" t="str">
        <f>"9783030853112"</f>
        <v>9783030853112</v>
      </c>
      <c r="D3104" t="str">
        <f>"9783030853129"</f>
        <v>9783030853129</v>
      </c>
      <c r="E3104" t="s">
        <v>756</v>
      </c>
      <c r="F3104" s="1">
        <v>44531</v>
      </c>
    </row>
    <row r="3105" spans="1:6" x14ac:dyDescent="0.25">
      <c r="A3105">
        <v>6821834</v>
      </c>
      <c r="B3105" t="s">
        <v>3151</v>
      </c>
      <c r="C3105" t="str">
        <f>""</f>
        <v/>
      </c>
      <c r="D3105" t="str">
        <f>"9789179291211"</f>
        <v>9789179291211</v>
      </c>
      <c r="E3105" t="s">
        <v>1268</v>
      </c>
      <c r="F3105" s="1">
        <v>44526</v>
      </c>
    </row>
    <row r="3106" spans="1:6" x14ac:dyDescent="0.25">
      <c r="A3106">
        <v>6821835</v>
      </c>
      <c r="B3106" t="s">
        <v>3152</v>
      </c>
      <c r="C3106" t="str">
        <f>""</f>
        <v/>
      </c>
      <c r="D3106" t="str">
        <f>"9789179291051"</f>
        <v>9789179291051</v>
      </c>
      <c r="E3106" t="s">
        <v>1268</v>
      </c>
      <c r="F3106" s="1">
        <v>44533</v>
      </c>
    </row>
    <row r="3107" spans="1:6" x14ac:dyDescent="0.25">
      <c r="A3107">
        <v>6823353</v>
      </c>
      <c r="B3107" t="s">
        <v>3153</v>
      </c>
      <c r="C3107" t="str">
        <f>"9789811250460"</f>
        <v>9789811250460</v>
      </c>
      <c r="D3107" t="str">
        <f>"9789811250477"</f>
        <v>9789811250477</v>
      </c>
      <c r="E3107" t="s">
        <v>1382</v>
      </c>
      <c r="F3107" s="1">
        <v>44529</v>
      </c>
    </row>
    <row r="3108" spans="1:6" x14ac:dyDescent="0.25">
      <c r="A3108">
        <v>6823965</v>
      </c>
      <c r="B3108" t="s">
        <v>3154</v>
      </c>
      <c r="C3108" t="str">
        <f>""</f>
        <v/>
      </c>
      <c r="D3108" t="str">
        <f>"9782759233977"</f>
        <v>9782759233977</v>
      </c>
      <c r="E3108" t="s">
        <v>626</v>
      </c>
      <c r="F3108" s="1">
        <v>44532</v>
      </c>
    </row>
    <row r="3109" spans="1:6" x14ac:dyDescent="0.25">
      <c r="A3109">
        <v>6824043</v>
      </c>
      <c r="B3109" t="s">
        <v>3155</v>
      </c>
      <c r="C3109" t="str">
        <f>""</f>
        <v/>
      </c>
      <c r="D3109" t="str">
        <f>"9782759232437"</f>
        <v>9782759232437</v>
      </c>
      <c r="E3109" t="s">
        <v>626</v>
      </c>
      <c r="F3109" s="1">
        <v>44245</v>
      </c>
    </row>
    <row r="3110" spans="1:6" x14ac:dyDescent="0.25">
      <c r="A3110">
        <v>6824245</v>
      </c>
      <c r="B3110" t="s">
        <v>3156</v>
      </c>
      <c r="C3110" t="str">
        <f>"9783030796211"</f>
        <v>9783030796211</v>
      </c>
      <c r="D3110" t="str">
        <f>"9783030796228"</f>
        <v>9783030796228</v>
      </c>
      <c r="E3110" t="s">
        <v>756</v>
      </c>
      <c r="F3110" s="1">
        <v>44538</v>
      </c>
    </row>
    <row r="3111" spans="1:6" x14ac:dyDescent="0.25">
      <c r="A3111">
        <v>6824265</v>
      </c>
      <c r="B3111" t="s">
        <v>3157</v>
      </c>
      <c r="C3111" t="str">
        <f>"9783030894955"</f>
        <v>9783030894955</v>
      </c>
      <c r="D3111" t="str">
        <f>"9783030894962"</f>
        <v>9783030894962</v>
      </c>
      <c r="E3111" t="s">
        <v>756</v>
      </c>
      <c r="F3111" s="1">
        <v>44538</v>
      </c>
    </row>
    <row r="3112" spans="1:6" x14ac:dyDescent="0.25">
      <c r="A3112">
        <v>6824273</v>
      </c>
      <c r="B3112" t="s">
        <v>3158</v>
      </c>
      <c r="C3112" t="str">
        <f>"9783030790349"</f>
        <v>9783030790349</v>
      </c>
      <c r="D3112" t="str">
        <f>"9783030790356"</f>
        <v>9783030790356</v>
      </c>
      <c r="E3112" t="s">
        <v>756</v>
      </c>
      <c r="F3112" s="1">
        <v>44540</v>
      </c>
    </row>
    <row r="3113" spans="1:6" x14ac:dyDescent="0.25">
      <c r="A3113">
        <v>6824280</v>
      </c>
      <c r="B3113" t="s">
        <v>3159</v>
      </c>
      <c r="C3113" t="str">
        <f>"9783030888664"</f>
        <v>9783030888664</v>
      </c>
      <c r="D3113" t="str">
        <f>"9783030888671"</f>
        <v>9783030888671</v>
      </c>
      <c r="E3113" t="s">
        <v>756</v>
      </c>
      <c r="F3113" s="1">
        <v>44538</v>
      </c>
    </row>
    <row r="3114" spans="1:6" x14ac:dyDescent="0.25">
      <c r="A3114">
        <v>6824282</v>
      </c>
      <c r="B3114" t="s">
        <v>3160</v>
      </c>
      <c r="C3114" t="str">
        <f>"9783030861773"</f>
        <v>9783030861773</v>
      </c>
      <c r="D3114" t="str">
        <f>"9783030861780"</f>
        <v>9783030861780</v>
      </c>
      <c r="E3114" t="s">
        <v>756</v>
      </c>
      <c r="F3114" s="1">
        <v>44539</v>
      </c>
    </row>
    <row r="3115" spans="1:6" x14ac:dyDescent="0.25">
      <c r="A3115">
        <v>6824289</v>
      </c>
      <c r="B3115" t="s">
        <v>3161</v>
      </c>
      <c r="C3115" t="str">
        <f>"9783030711467"</f>
        <v>9783030711467</v>
      </c>
      <c r="D3115" t="str">
        <f>"9783030711474"</f>
        <v>9783030711474</v>
      </c>
      <c r="E3115" t="s">
        <v>756</v>
      </c>
      <c r="F3115" s="1">
        <v>44539</v>
      </c>
    </row>
    <row r="3116" spans="1:6" x14ac:dyDescent="0.25">
      <c r="A3116">
        <v>6824317</v>
      </c>
      <c r="B3116" t="s">
        <v>3162</v>
      </c>
      <c r="C3116" t="str">
        <f>""</f>
        <v/>
      </c>
      <c r="D3116" t="str">
        <f>"9781934831182"</f>
        <v>9781934831182</v>
      </c>
      <c r="E3116" t="s">
        <v>3163</v>
      </c>
      <c r="F3116" s="1">
        <v>42552</v>
      </c>
    </row>
    <row r="3117" spans="1:6" x14ac:dyDescent="0.25">
      <c r="A3117">
        <v>6824318</v>
      </c>
      <c r="B3117" t="s">
        <v>3164</v>
      </c>
      <c r="C3117" t="str">
        <f>""</f>
        <v/>
      </c>
      <c r="D3117" t="str">
        <f>"9781934831175"</f>
        <v>9781934831175</v>
      </c>
      <c r="E3117" t="s">
        <v>3163</v>
      </c>
      <c r="F3117" s="1">
        <v>42552</v>
      </c>
    </row>
    <row r="3118" spans="1:6" x14ac:dyDescent="0.25">
      <c r="A3118">
        <v>6824319</v>
      </c>
      <c r="B3118" t="s">
        <v>3165</v>
      </c>
      <c r="C3118" t="str">
        <f>""</f>
        <v/>
      </c>
      <c r="D3118" t="str">
        <f>"9781934831151"</f>
        <v>9781934831151</v>
      </c>
      <c r="E3118" t="s">
        <v>3163</v>
      </c>
      <c r="F3118" s="1">
        <v>42552</v>
      </c>
    </row>
    <row r="3119" spans="1:6" x14ac:dyDescent="0.25">
      <c r="A3119">
        <v>6824320</v>
      </c>
      <c r="B3119" t="s">
        <v>3166</v>
      </c>
      <c r="C3119" t="str">
        <f>"9781934831236"</f>
        <v>9781934831236</v>
      </c>
      <c r="D3119" t="str">
        <f>"9781934831243"</f>
        <v>9781934831243</v>
      </c>
      <c r="E3119" t="s">
        <v>3163</v>
      </c>
      <c r="F3119" s="1">
        <v>43951</v>
      </c>
    </row>
    <row r="3120" spans="1:6" x14ac:dyDescent="0.25">
      <c r="A3120">
        <v>6824321</v>
      </c>
      <c r="B3120" t="s">
        <v>3167</v>
      </c>
      <c r="C3120" t="str">
        <f>""</f>
        <v/>
      </c>
      <c r="D3120" t="str">
        <f>"9781934831144"</f>
        <v>9781934831144</v>
      </c>
      <c r="E3120" t="s">
        <v>3163</v>
      </c>
      <c r="F3120" s="1">
        <v>42186</v>
      </c>
    </row>
    <row r="3121" spans="1:6" x14ac:dyDescent="0.25">
      <c r="A3121">
        <v>6824322</v>
      </c>
      <c r="B3121" t="s">
        <v>3168</v>
      </c>
      <c r="C3121" t="str">
        <f>""</f>
        <v/>
      </c>
      <c r="D3121" t="str">
        <f>"9781934831076"</f>
        <v>9781934831076</v>
      </c>
      <c r="E3121" t="s">
        <v>3163</v>
      </c>
      <c r="F3121" s="1">
        <v>42224</v>
      </c>
    </row>
    <row r="3122" spans="1:6" x14ac:dyDescent="0.25">
      <c r="A3122">
        <v>6824323</v>
      </c>
      <c r="B3122" t="s">
        <v>3169</v>
      </c>
      <c r="C3122" t="str">
        <f>""</f>
        <v/>
      </c>
      <c r="D3122" t="str">
        <f>"9781934831212"</f>
        <v>9781934831212</v>
      </c>
      <c r="E3122" t="s">
        <v>3163</v>
      </c>
      <c r="F3122" s="1">
        <v>42917</v>
      </c>
    </row>
    <row r="3123" spans="1:6" x14ac:dyDescent="0.25">
      <c r="A3123">
        <v>6824324</v>
      </c>
      <c r="B3123" t="s">
        <v>3170</v>
      </c>
      <c r="C3123" t="str">
        <f>""</f>
        <v/>
      </c>
      <c r="D3123" t="str">
        <f>"9781934831038"</f>
        <v>9781934831038</v>
      </c>
      <c r="E3123" t="s">
        <v>3163</v>
      </c>
      <c r="F3123" s="1">
        <v>40613</v>
      </c>
    </row>
    <row r="3124" spans="1:6" x14ac:dyDescent="0.25">
      <c r="A3124">
        <v>6824325</v>
      </c>
      <c r="B3124" t="s">
        <v>3171</v>
      </c>
      <c r="C3124" t="str">
        <f>""</f>
        <v/>
      </c>
      <c r="D3124" t="str">
        <f>"9781934831229"</f>
        <v>9781934831229</v>
      </c>
      <c r="E3124" t="s">
        <v>3163</v>
      </c>
      <c r="F3124" s="1">
        <v>43282</v>
      </c>
    </row>
    <row r="3125" spans="1:6" x14ac:dyDescent="0.25">
      <c r="A3125">
        <v>6824326</v>
      </c>
      <c r="B3125" t="s">
        <v>3172</v>
      </c>
      <c r="C3125" t="str">
        <f>""</f>
        <v/>
      </c>
      <c r="D3125" t="str">
        <f>"9781934831106"</f>
        <v>9781934831106</v>
      </c>
      <c r="E3125" t="s">
        <v>3163</v>
      </c>
      <c r="F3125" s="1">
        <v>41091</v>
      </c>
    </row>
    <row r="3126" spans="1:6" x14ac:dyDescent="0.25">
      <c r="A3126">
        <v>6824327</v>
      </c>
      <c r="B3126" t="s">
        <v>3173</v>
      </c>
      <c r="C3126" t="str">
        <f>""</f>
        <v/>
      </c>
      <c r="D3126" t="str">
        <f>"9781934831120"</f>
        <v>9781934831120</v>
      </c>
      <c r="E3126" t="s">
        <v>3163</v>
      </c>
      <c r="F3126" s="1">
        <v>41456</v>
      </c>
    </row>
    <row r="3127" spans="1:6" x14ac:dyDescent="0.25">
      <c r="A3127">
        <v>6824328</v>
      </c>
      <c r="B3127" t="s">
        <v>3174</v>
      </c>
      <c r="C3127" t="str">
        <f>""</f>
        <v/>
      </c>
      <c r="D3127" t="str">
        <f>"9781934831007"</f>
        <v>9781934831007</v>
      </c>
      <c r="E3127" t="s">
        <v>3163</v>
      </c>
      <c r="F3127" s="1">
        <v>40438</v>
      </c>
    </row>
    <row r="3128" spans="1:6" x14ac:dyDescent="0.25">
      <c r="A3128">
        <v>6824329</v>
      </c>
      <c r="B3128" t="s">
        <v>3175</v>
      </c>
      <c r="C3128" t="str">
        <f>""</f>
        <v/>
      </c>
      <c r="D3128" t="str">
        <f>"9781934831083"</f>
        <v>9781934831083</v>
      </c>
      <c r="E3128" t="s">
        <v>3163</v>
      </c>
      <c r="F3128" s="1">
        <v>40725</v>
      </c>
    </row>
    <row r="3129" spans="1:6" x14ac:dyDescent="0.25">
      <c r="A3129">
        <v>6824330</v>
      </c>
      <c r="B3129" t="s">
        <v>3176</v>
      </c>
      <c r="C3129" t="str">
        <f>""</f>
        <v/>
      </c>
      <c r="D3129" t="str">
        <f>"9781934831045"</f>
        <v>9781934831045</v>
      </c>
      <c r="E3129" t="s">
        <v>3163</v>
      </c>
      <c r="F3129" s="1">
        <v>40544</v>
      </c>
    </row>
    <row r="3130" spans="1:6" x14ac:dyDescent="0.25">
      <c r="A3130">
        <v>6824332</v>
      </c>
      <c r="B3130" t="s">
        <v>3177</v>
      </c>
      <c r="C3130" t="str">
        <f>""</f>
        <v/>
      </c>
      <c r="D3130" t="str">
        <f>"9781934831069"</f>
        <v>9781934831069</v>
      </c>
      <c r="E3130" t="s">
        <v>3163</v>
      </c>
      <c r="F3130" s="1">
        <v>40817</v>
      </c>
    </row>
    <row r="3131" spans="1:6" x14ac:dyDescent="0.25">
      <c r="A3131">
        <v>6824333</v>
      </c>
      <c r="B3131" t="s">
        <v>3178</v>
      </c>
      <c r="C3131" t="str">
        <f>""</f>
        <v/>
      </c>
      <c r="D3131" t="str">
        <f>"9781934831014"</f>
        <v>9781934831014</v>
      </c>
      <c r="E3131" t="s">
        <v>3163</v>
      </c>
      <c r="F3131" s="1">
        <v>40829</v>
      </c>
    </row>
    <row r="3132" spans="1:6" x14ac:dyDescent="0.25">
      <c r="A3132">
        <v>6824334</v>
      </c>
      <c r="B3132" t="s">
        <v>3179</v>
      </c>
      <c r="C3132" t="str">
        <f>""</f>
        <v/>
      </c>
      <c r="D3132" t="str">
        <f>"9781934831137"</f>
        <v>9781934831137</v>
      </c>
      <c r="E3132" t="s">
        <v>3163</v>
      </c>
      <c r="F3132" s="1">
        <v>41821</v>
      </c>
    </row>
    <row r="3133" spans="1:6" x14ac:dyDescent="0.25">
      <c r="A3133">
        <v>6824335</v>
      </c>
      <c r="B3133" t="s">
        <v>3180</v>
      </c>
      <c r="C3133" t="str">
        <f>""</f>
        <v/>
      </c>
      <c r="D3133" t="str">
        <f>"9781934831168"</f>
        <v>9781934831168</v>
      </c>
      <c r="E3133" t="s">
        <v>3163</v>
      </c>
      <c r="F3133" s="1">
        <v>42552</v>
      </c>
    </row>
    <row r="3134" spans="1:6" x14ac:dyDescent="0.25">
      <c r="A3134">
        <v>6824336</v>
      </c>
      <c r="B3134" t="s">
        <v>3181</v>
      </c>
      <c r="C3134" t="str">
        <f>""</f>
        <v/>
      </c>
      <c r="D3134" t="str">
        <f>"9781934831021"</f>
        <v>9781934831021</v>
      </c>
      <c r="E3134" t="s">
        <v>3163</v>
      </c>
      <c r="F3134" s="1">
        <v>40360</v>
      </c>
    </row>
    <row r="3135" spans="1:6" x14ac:dyDescent="0.25">
      <c r="A3135">
        <v>6824337</v>
      </c>
      <c r="B3135" t="s">
        <v>3182</v>
      </c>
      <c r="C3135" t="str">
        <f>""</f>
        <v/>
      </c>
      <c r="D3135" t="str">
        <f>"9781934831205"</f>
        <v>9781934831205</v>
      </c>
      <c r="E3135" t="s">
        <v>3163</v>
      </c>
      <c r="F3135" s="1">
        <v>42552</v>
      </c>
    </row>
    <row r="3136" spans="1:6" x14ac:dyDescent="0.25">
      <c r="A3136">
        <v>6824949</v>
      </c>
      <c r="B3136" t="s">
        <v>3183</v>
      </c>
      <c r="C3136" t="str">
        <f>"9783030836399"</f>
        <v>9783030836399</v>
      </c>
      <c r="D3136" t="str">
        <f>"9783030836405"</f>
        <v>9783030836405</v>
      </c>
      <c r="E3136" t="s">
        <v>756</v>
      </c>
      <c r="F3136" s="1">
        <v>44540</v>
      </c>
    </row>
    <row r="3137" spans="1:6" x14ac:dyDescent="0.25">
      <c r="A3137">
        <v>6824950</v>
      </c>
      <c r="B3137" t="s">
        <v>3184</v>
      </c>
      <c r="C3137" t="str">
        <f>"9783662637920"</f>
        <v>9783662637920</v>
      </c>
      <c r="D3137" t="str">
        <f>"9783662637937"</f>
        <v>9783662637937</v>
      </c>
      <c r="E3137" t="s">
        <v>1416</v>
      </c>
      <c r="F3137" s="1">
        <v>44540</v>
      </c>
    </row>
    <row r="3138" spans="1:6" x14ac:dyDescent="0.25">
      <c r="A3138">
        <v>6825110</v>
      </c>
      <c r="B3138" t="s">
        <v>3185</v>
      </c>
      <c r="C3138" t="str">
        <f>"9783030770396"</f>
        <v>9783030770396</v>
      </c>
      <c r="D3138" t="str">
        <f>"9783030770402"</f>
        <v>9783030770402</v>
      </c>
      <c r="E3138" t="s">
        <v>756</v>
      </c>
      <c r="F3138" s="1">
        <v>44541</v>
      </c>
    </row>
    <row r="3139" spans="1:6" x14ac:dyDescent="0.25">
      <c r="A3139">
        <v>6825144</v>
      </c>
      <c r="B3139" t="s">
        <v>3186</v>
      </c>
      <c r="C3139" t="str">
        <f>"9789811678486"</f>
        <v>9789811678486</v>
      </c>
      <c r="D3139" t="str">
        <f>"9789811678493"</f>
        <v>9789811678493</v>
      </c>
      <c r="E3139" t="s">
        <v>1177</v>
      </c>
      <c r="F3139" s="1">
        <v>44541</v>
      </c>
    </row>
    <row r="3140" spans="1:6" x14ac:dyDescent="0.25">
      <c r="A3140">
        <v>6825145</v>
      </c>
      <c r="B3140" t="s">
        <v>3187</v>
      </c>
      <c r="C3140" t="str">
        <f>"9783030902551"</f>
        <v>9783030902551</v>
      </c>
      <c r="D3140" t="str">
        <f>"9783030902568"</f>
        <v>9783030902568</v>
      </c>
      <c r="E3140" t="s">
        <v>756</v>
      </c>
      <c r="F3140" s="1">
        <v>44541</v>
      </c>
    </row>
    <row r="3141" spans="1:6" x14ac:dyDescent="0.25">
      <c r="A3141">
        <v>6825292</v>
      </c>
      <c r="B3141" t="s">
        <v>3188</v>
      </c>
      <c r="C3141" t="str">
        <f>""</f>
        <v/>
      </c>
      <c r="D3141" t="str">
        <f>"9789179291273"</f>
        <v>9789179291273</v>
      </c>
      <c r="E3141" t="s">
        <v>1268</v>
      </c>
      <c r="F3141" s="1">
        <v>44540</v>
      </c>
    </row>
    <row r="3142" spans="1:6" x14ac:dyDescent="0.25">
      <c r="A3142">
        <v>6825293</v>
      </c>
      <c r="B3142" t="s">
        <v>3189</v>
      </c>
      <c r="C3142" t="str">
        <f>""</f>
        <v/>
      </c>
      <c r="D3142" t="str">
        <f>"9789179291174"</f>
        <v>9789179291174</v>
      </c>
      <c r="E3142" t="s">
        <v>1268</v>
      </c>
      <c r="F3142" s="1">
        <v>44538</v>
      </c>
    </row>
    <row r="3143" spans="1:6" x14ac:dyDescent="0.25">
      <c r="A3143">
        <v>6825294</v>
      </c>
      <c r="B3143" t="s">
        <v>3190</v>
      </c>
      <c r="C3143" t="str">
        <f>""</f>
        <v/>
      </c>
      <c r="D3143" t="str">
        <f>"9789179291471"</f>
        <v>9789179291471</v>
      </c>
      <c r="E3143" t="s">
        <v>1268</v>
      </c>
      <c r="F3143" s="1">
        <v>44533</v>
      </c>
    </row>
    <row r="3144" spans="1:6" x14ac:dyDescent="0.25">
      <c r="A3144">
        <v>6825384</v>
      </c>
      <c r="B3144" t="s">
        <v>3191</v>
      </c>
      <c r="C3144" t="str">
        <f>"9783030784973"</f>
        <v>9783030784973</v>
      </c>
      <c r="D3144" t="str">
        <f>"9783030784980"</f>
        <v>9783030784980</v>
      </c>
      <c r="E3144" t="s">
        <v>756</v>
      </c>
      <c r="F3144" s="1">
        <v>44542</v>
      </c>
    </row>
    <row r="3145" spans="1:6" x14ac:dyDescent="0.25">
      <c r="A3145">
        <v>6825627</v>
      </c>
      <c r="B3145" t="s">
        <v>3192</v>
      </c>
      <c r="C3145" t="str">
        <f>"9789633864173"</f>
        <v>9789633864173</v>
      </c>
      <c r="D3145" t="str">
        <f>"9789633864180"</f>
        <v>9789633864180</v>
      </c>
      <c r="E3145" t="s">
        <v>576</v>
      </c>
      <c r="F3145" s="1">
        <v>44666</v>
      </c>
    </row>
    <row r="3146" spans="1:6" x14ac:dyDescent="0.25">
      <c r="A3146">
        <v>6825628</v>
      </c>
      <c r="B3146" t="s">
        <v>3193</v>
      </c>
      <c r="C3146" t="str">
        <f>"9789633864159"</f>
        <v>9789633864159</v>
      </c>
      <c r="D3146" t="str">
        <f>"9789633864166"</f>
        <v>9789633864166</v>
      </c>
      <c r="E3146" t="s">
        <v>576</v>
      </c>
      <c r="F3146" s="1">
        <v>44607</v>
      </c>
    </row>
    <row r="3147" spans="1:6" x14ac:dyDescent="0.25">
      <c r="A3147">
        <v>6825723</v>
      </c>
      <c r="B3147" t="s">
        <v>3194</v>
      </c>
      <c r="C3147" t="str">
        <f>"9783658361280"</f>
        <v>9783658361280</v>
      </c>
      <c r="D3147" t="str">
        <f>"9783658361297"</f>
        <v>9783658361297</v>
      </c>
      <c r="E3147" t="s">
        <v>1391</v>
      </c>
      <c r="F3147" s="1">
        <v>44543</v>
      </c>
    </row>
    <row r="3148" spans="1:6" x14ac:dyDescent="0.25">
      <c r="A3148">
        <v>6825846</v>
      </c>
      <c r="B3148" t="s">
        <v>3195</v>
      </c>
      <c r="C3148" t="str">
        <f>"9781800642850"</f>
        <v>9781800642850</v>
      </c>
      <c r="D3148" t="str">
        <f>"9781800642867"</f>
        <v>9781800642867</v>
      </c>
      <c r="E3148" t="s">
        <v>580</v>
      </c>
      <c r="F3148" s="1">
        <v>44515</v>
      </c>
    </row>
    <row r="3149" spans="1:6" x14ac:dyDescent="0.25">
      <c r="A3149">
        <v>6825847</v>
      </c>
      <c r="B3149" t="s">
        <v>3196</v>
      </c>
      <c r="C3149" t="str">
        <f>"9781800642799"</f>
        <v>9781800642799</v>
      </c>
      <c r="D3149" t="str">
        <f>"9781800642805"</f>
        <v>9781800642805</v>
      </c>
      <c r="E3149" t="s">
        <v>580</v>
      </c>
      <c r="F3149" s="1">
        <v>44531</v>
      </c>
    </row>
    <row r="3150" spans="1:6" x14ac:dyDescent="0.25">
      <c r="A3150">
        <v>6825848</v>
      </c>
      <c r="B3150" t="s">
        <v>3197</v>
      </c>
      <c r="C3150" t="str">
        <f>"9781800643390"</f>
        <v>9781800643390</v>
      </c>
      <c r="D3150" t="str">
        <f>"9781800643406"</f>
        <v>9781800643406</v>
      </c>
      <c r="E3150" t="s">
        <v>580</v>
      </c>
      <c r="F3150" s="1">
        <v>44540</v>
      </c>
    </row>
    <row r="3151" spans="1:6" x14ac:dyDescent="0.25">
      <c r="A3151">
        <v>6825849</v>
      </c>
      <c r="B3151" t="s">
        <v>3198</v>
      </c>
      <c r="C3151" t="str">
        <f>"9781800643512"</f>
        <v>9781800643512</v>
      </c>
      <c r="D3151" t="str">
        <f>"9781800643529"</f>
        <v>9781800643529</v>
      </c>
      <c r="E3151" t="s">
        <v>580</v>
      </c>
      <c r="F3151" s="1">
        <v>44531</v>
      </c>
    </row>
    <row r="3152" spans="1:6" x14ac:dyDescent="0.25">
      <c r="A3152">
        <v>6825850</v>
      </c>
      <c r="B3152" t="s">
        <v>3199</v>
      </c>
      <c r="C3152" t="str">
        <f>"9781800640665"</f>
        <v>9781800640665</v>
      </c>
      <c r="D3152" t="str">
        <f>"9781800640672"</f>
        <v>9781800640672</v>
      </c>
      <c r="E3152" t="s">
        <v>580</v>
      </c>
      <c r="F3152" s="1">
        <v>44533</v>
      </c>
    </row>
    <row r="3153" spans="1:6" x14ac:dyDescent="0.25">
      <c r="A3153">
        <v>6825855</v>
      </c>
      <c r="B3153" t="s">
        <v>3200</v>
      </c>
      <c r="C3153" t="str">
        <f>"9783899493245"</f>
        <v>9783899493245</v>
      </c>
      <c r="D3153" t="str">
        <f>"9783110927832"</f>
        <v>9783110927832</v>
      </c>
      <c r="E3153" t="s">
        <v>53</v>
      </c>
      <c r="F3153" s="1">
        <v>38897</v>
      </c>
    </row>
    <row r="3154" spans="1:6" x14ac:dyDescent="0.25">
      <c r="A3154">
        <v>6826328</v>
      </c>
      <c r="B3154" t="s">
        <v>3201</v>
      </c>
      <c r="C3154" t="str">
        <f>"9789811667824"</f>
        <v>9789811667824</v>
      </c>
      <c r="D3154" t="str">
        <f>"9789811667831"</f>
        <v>9789811667831</v>
      </c>
      <c r="E3154" t="s">
        <v>1177</v>
      </c>
      <c r="F3154" s="1">
        <v>44544</v>
      </c>
    </row>
    <row r="3155" spans="1:6" x14ac:dyDescent="0.25">
      <c r="A3155">
        <v>6827104</v>
      </c>
      <c r="B3155" t="s">
        <v>3202</v>
      </c>
      <c r="C3155" t="str">
        <f>"9783658356880"</f>
        <v>9783658356880</v>
      </c>
      <c r="D3155" t="str">
        <f>"9783658356897"</f>
        <v>9783658356897</v>
      </c>
      <c r="E3155" t="s">
        <v>1391</v>
      </c>
      <c r="F3155" s="1">
        <v>44545</v>
      </c>
    </row>
    <row r="3156" spans="1:6" x14ac:dyDescent="0.25">
      <c r="A3156">
        <v>6827113</v>
      </c>
      <c r="B3156" t="s">
        <v>3203</v>
      </c>
      <c r="C3156" t="str">
        <f>"9783658362867"</f>
        <v>9783658362867</v>
      </c>
      <c r="D3156" t="str">
        <f>"9783658362874"</f>
        <v>9783658362874</v>
      </c>
      <c r="E3156" t="s">
        <v>1391</v>
      </c>
      <c r="F3156" s="1">
        <v>44545</v>
      </c>
    </row>
    <row r="3157" spans="1:6" x14ac:dyDescent="0.25">
      <c r="A3157">
        <v>6827120</v>
      </c>
      <c r="B3157" t="s">
        <v>3204</v>
      </c>
      <c r="C3157" t="str">
        <f>"9783030764289"</f>
        <v>9783030764289</v>
      </c>
      <c r="D3157" t="str">
        <f>"9783030764296"</f>
        <v>9783030764296</v>
      </c>
      <c r="E3157" t="s">
        <v>756</v>
      </c>
      <c r="F3157" s="1">
        <v>44545</v>
      </c>
    </row>
    <row r="3158" spans="1:6" x14ac:dyDescent="0.25">
      <c r="A3158">
        <v>6827141</v>
      </c>
      <c r="B3158" t="s">
        <v>3205</v>
      </c>
      <c r="C3158" t="str">
        <f>"9783030882020"</f>
        <v>9783030882020</v>
      </c>
      <c r="D3158" t="str">
        <f>"9783030882037"</f>
        <v>9783030882037</v>
      </c>
      <c r="E3158" t="s">
        <v>756</v>
      </c>
      <c r="F3158" s="1">
        <v>44545</v>
      </c>
    </row>
    <row r="3159" spans="1:6" x14ac:dyDescent="0.25">
      <c r="A3159">
        <v>6827145</v>
      </c>
      <c r="B3159" t="s">
        <v>3206</v>
      </c>
      <c r="C3159" t="str">
        <f>"9783030902209"</f>
        <v>9783030902209</v>
      </c>
      <c r="D3159" t="str">
        <f>"9783030902216"</f>
        <v>9783030902216</v>
      </c>
      <c r="E3159" t="s">
        <v>756</v>
      </c>
      <c r="F3159" s="1">
        <v>44545</v>
      </c>
    </row>
    <row r="3160" spans="1:6" x14ac:dyDescent="0.25">
      <c r="A3160">
        <v>6827683</v>
      </c>
      <c r="B3160" t="s">
        <v>3207</v>
      </c>
      <c r="C3160" t="str">
        <f>"9783030785888"</f>
        <v>9783030785888</v>
      </c>
      <c r="D3160" t="str">
        <f>"9783030785895"</f>
        <v>9783030785895</v>
      </c>
      <c r="E3160" t="s">
        <v>756</v>
      </c>
      <c r="F3160" s="1">
        <v>44534</v>
      </c>
    </row>
    <row r="3161" spans="1:6" x14ac:dyDescent="0.25">
      <c r="A3161">
        <v>6827686</v>
      </c>
      <c r="B3161" t="s">
        <v>3208</v>
      </c>
      <c r="C3161" t="str">
        <f>"9789811631870"</f>
        <v>9789811631870</v>
      </c>
      <c r="D3161" t="str">
        <f>"9789811631887"</f>
        <v>9789811631887</v>
      </c>
      <c r="E3161" t="s">
        <v>1177</v>
      </c>
      <c r="F3161" s="1">
        <v>44546</v>
      </c>
    </row>
    <row r="3162" spans="1:6" x14ac:dyDescent="0.25">
      <c r="A3162">
        <v>6827693</v>
      </c>
      <c r="B3162" t="s">
        <v>3209</v>
      </c>
      <c r="C3162" t="str">
        <f>"9783030884543"</f>
        <v>9783030884543</v>
      </c>
      <c r="D3162" t="str">
        <f>"9783030884550"</f>
        <v>9783030884550</v>
      </c>
      <c r="E3162" t="s">
        <v>756</v>
      </c>
      <c r="F3162" s="1">
        <v>44534</v>
      </c>
    </row>
    <row r="3163" spans="1:6" x14ac:dyDescent="0.25">
      <c r="A3163">
        <v>6827695</v>
      </c>
      <c r="B3163" t="s">
        <v>3210</v>
      </c>
      <c r="C3163" t="str">
        <f>"9783030812096"</f>
        <v>9783030812096</v>
      </c>
      <c r="D3163" t="str">
        <f>"9783030812102"</f>
        <v>9783030812102</v>
      </c>
      <c r="E3163" t="s">
        <v>756</v>
      </c>
      <c r="F3163" s="1">
        <v>44532</v>
      </c>
    </row>
    <row r="3164" spans="1:6" x14ac:dyDescent="0.25">
      <c r="A3164">
        <v>6827696</v>
      </c>
      <c r="B3164" t="s">
        <v>3211</v>
      </c>
      <c r="C3164" t="str">
        <f>"9783030827588"</f>
        <v>9783030827588</v>
      </c>
      <c r="D3164" t="str">
        <f>"9783030827595"</f>
        <v>9783030827595</v>
      </c>
      <c r="E3164" t="s">
        <v>756</v>
      </c>
      <c r="F3164" s="1">
        <v>44583</v>
      </c>
    </row>
    <row r="3165" spans="1:6" x14ac:dyDescent="0.25">
      <c r="A3165">
        <v>6827699</v>
      </c>
      <c r="B3165" t="s">
        <v>3212</v>
      </c>
      <c r="C3165" t="str">
        <f>"9783030842802"</f>
        <v>9783030842802</v>
      </c>
      <c r="D3165" t="str">
        <f>"9783030842819"</f>
        <v>9783030842819</v>
      </c>
      <c r="E3165" t="s">
        <v>756</v>
      </c>
      <c r="F3165" s="1">
        <v>44537</v>
      </c>
    </row>
    <row r="3166" spans="1:6" x14ac:dyDescent="0.25">
      <c r="A3166">
        <v>6827705</v>
      </c>
      <c r="B3166" t="s">
        <v>3213</v>
      </c>
      <c r="C3166" t="str">
        <f>"9783030842475"</f>
        <v>9783030842475</v>
      </c>
      <c r="D3166" t="str">
        <f>"9783030842482"</f>
        <v>9783030842482</v>
      </c>
      <c r="E3166" t="s">
        <v>756</v>
      </c>
      <c r="F3166" s="1">
        <v>44532</v>
      </c>
    </row>
    <row r="3167" spans="1:6" x14ac:dyDescent="0.25">
      <c r="A3167">
        <v>6827706</v>
      </c>
      <c r="B3167" t="s">
        <v>3214</v>
      </c>
      <c r="C3167" t="str">
        <f>"9783662644072"</f>
        <v>9783662644072</v>
      </c>
      <c r="D3167" t="str">
        <f>"9783662644089"</f>
        <v>9783662644089</v>
      </c>
      <c r="E3167" t="s">
        <v>1416</v>
      </c>
      <c r="F3167" s="1">
        <v>44532</v>
      </c>
    </row>
    <row r="3168" spans="1:6" x14ac:dyDescent="0.25">
      <c r="A3168">
        <v>6827718</v>
      </c>
      <c r="B3168" t="s">
        <v>3215</v>
      </c>
      <c r="C3168" t="str">
        <f>"9789813349711"</f>
        <v>9789813349711</v>
      </c>
      <c r="D3168" t="str">
        <f>"9789813349728"</f>
        <v>9789813349728</v>
      </c>
      <c r="E3168" t="s">
        <v>1177</v>
      </c>
      <c r="F3168" s="1">
        <v>44534</v>
      </c>
    </row>
    <row r="3169" spans="1:6" x14ac:dyDescent="0.25">
      <c r="A3169">
        <v>6827720</v>
      </c>
      <c r="B3169" t="s">
        <v>3216</v>
      </c>
      <c r="C3169" t="str">
        <f>"9783030886615"</f>
        <v>9783030886615</v>
      </c>
      <c r="D3169" t="str">
        <f>"9783030886622"</f>
        <v>9783030886622</v>
      </c>
      <c r="E3169" t="s">
        <v>756</v>
      </c>
      <c r="F3169" s="1">
        <v>44533</v>
      </c>
    </row>
    <row r="3170" spans="1:6" x14ac:dyDescent="0.25">
      <c r="A3170">
        <v>6827725</v>
      </c>
      <c r="B3170" t="s">
        <v>3217</v>
      </c>
      <c r="C3170" t="str">
        <f>"9783030835811"</f>
        <v>9783030835811</v>
      </c>
      <c r="D3170" t="str">
        <f>"9783030835828"</f>
        <v>9783030835828</v>
      </c>
      <c r="E3170" t="s">
        <v>756</v>
      </c>
      <c r="F3170" s="1">
        <v>44533</v>
      </c>
    </row>
    <row r="3171" spans="1:6" x14ac:dyDescent="0.25">
      <c r="A3171">
        <v>6827730</v>
      </c>
      <c r="B3171" t="s">
        <v>3218</v>
      </c>
      <c r="C3171" t="str">
        <f>"9783030912710"</f>
        <v>9783030912710</v>
      </c>
      <c r="D3171" t="str">
        <f>"9783030912727"</f>
        <v>9783030912727</v>
      </c>
      <c r="E3171" t="s">
        <v>756</v>
      </c>
      <c r="F3171" s="1">
        <v>44537</v>
      </c>
    </row>
    <row r="3172" spans="1:6" x14ac:dyDescent="0.25">
      <c r="A3172">
        <v>6827731</v>
      </c>
      <c r="B3172" t="s">
        <v>3219</v>
      </c>
      <c r="C3172" t="str">
        <f>"9783030785963"</f>
        <v>9783030785963</v>
      </c>
      <c r="D3172" t="str">
        <f>"9783030785970"</f>
        <v>9783030785970</v>
      </c>
      <c r="E3172" t="s">
        <v>756</v>
      </c>
      <c r="F3172" s="1">
        <v>44533</v>
      </c>
    </row>
    <row r="3173" spans="1:6" x14ac:dyDescent="0.25">
      <c r="A3173">
        <v>6828233</v>
      </c>
      <c r="B3173" t="s">
        <v>3220</v>
      </c>
      <c r="C3173" t="str">
        <f>""</f>
        <v/>
      </c>
      <c r="D3173" t="str">
        <f>"9782759234684"</f>
        <v>9782759234684</v>
      </c>
      <c r="E3173" t="s">
        <v>626</v>
      </c>
      <c r="F3173" s="1">
        <v>44547</v>
      </c>
    </row>
    <row r="3174" spans="1:6" x14ac:dyDescent="0.25">
      <c r="A3174">
        <v>6828248</v>
      </c>
      <c r="B3174" t="s">
        <v>3221</v>
      </c>
      <c r="C3174" t="str">
        <f>"9783030844509"</f>
        <v>9783030844509</v>
      </c>
      <c r="D3174" t="str">
        <f>"9783030844516"</f>
        <v>9783030844516</v>
      </c>
      <c r="E3174" t="s">
        <v>756</v>
      </c>
      <c r="F3174" s="1">
        <v>44547</v>
      </c>
    </row>
    <row r="3175" spans="1:6" x14ac:dyDescent="0.25">
      <c r="A3175">
        <v>6828249</v>
      </c>
      <c r="B3175" t="s">
        <v>3222</v>
      </c>
      <c r="C3175" t="str">
        <f>"9783030790530"</f>
        <v>9783030790530</v>
      </c>
      <c r="D3175" t="str">
        <f>"9783030790547"</f>
        <v>9783030790547</v>
      </c>
      <c r="E3175" t="s">
        <v>756</v>
      </c>
      <c r="F3175" s="1">
        <v>44547</v>
      </c>
    </row>
    <row r="3176" spans="1:6" x14ac:dyDescent="0.25">
      <c r="A3176">
        <v>6828603</v>
      </c>
      <c r="B3176" t="s">
        <v>3223</v>
      </c>
      <c r="C3176" t="str">
        <f>""</f>
        <v/>
      </c>
      <c r="D3176" t="str">
        <f>"9789179291457"</f>
        <v>9789179291457</v>
      </c>
      <c r="E3176" t="s">
        <v>1268</v>
      </c>
      <c r="F3176" s="1">
        <v>44539</v>
      </c>
    </row>
    <row r="3177" spans="1:6" x14ac:dyDescent="0.25">
      <c r="A3177">
        <v>6837122</v>
      </c>
      <c r="B3177" t="s">
        <v>3224</v>
      </c>
      <c r="C3177" t="str">
        <f>""</f>
        <v/>
      </c>
      <c r="D3177" t="str">
        <f>"9789179291723"</f>
        <v>9789179291723</v>
      </c>
      <c r="E3177" t="s">
        <v>1268</v>
      </c>
      <c r="F3177" s="1">
        <v>44540</v>
      </c>
    </row>
    <row r="3178" spans="1:6" x14ac:dyDescent="0.25">
      <c r="A3178">
        <v>6837544</v>
      </c>
      <c r="B3178" t="s">
        <v>3225</v>
      </c>
      <c r="C3178" t="str">
        <f>"9789633864395"</f>
        <v>9789633864395</v>
      </c>
      <c r="D3178" t="str">
        <f>"9789633864401"</f>
        <v>9789633864401</v>
      </c>
      <c r="E3178" t="s">
        <v>576</v>
      </c>
      <c r="F3178" s="1">
        <v>44571</v>
      </c>
    </row>
    <row r="3179" spans="1:6" x14ac:dyDescent="0.25">
      <c r="A3179">
        <v>6838564</v>
      </c>
      <c r="B3179" t="s">
        <v>3226</v>
      </c>
      <c r="C3179" t="str">
        <f>"9783658360375"</f>
        <v>9783658360375</v>
      </c>
      <c r="D3179" t="str">
        <f>"9783658360382"</f>
        <v>9783658360382</v>
      </c>
      <c r="E3179" t="s">
        <v>1391</v>
      </c>
      <c r="F3179" s="1">
        <v>44551</v>
      </c>
    </row>
    <row r="3180" spans="1:6" x14ac:dyDescent="0.25">
      <c r="A3180">
        <v>6838608</v>
      </c>
      <c r="B3180" t="s">
        <v>3227</v>
      </c>
      <c r="C3180" t="str">
        <f>"9783030840433"</f>
        <v>9783030840433</v>
      </c>
      <c r="D3180" t="str">
        <f>"9783030840440"</f>
        <v>9783030840440</v>
      </c>
      <c r="E3180" t="s">
        <v>756</v>
      </c>
      <c r="F3180" s="1">
        <v>44551</v>
      </c>
    </row>
    <row r="3181" spans="1:6" x14ac:dyDescent="0.25">
      <c r="A3181">
        <v>6838610</v>
      </c>
      <c r="B3181" t="s">
        <v>1720</v>
      </c>
      <c r="C3181" t="str">
        <f>"9783030795146"</f>
        <v>9783030795146</v>
      </c>
      <c r="D3181" t="str">
        <f>"9783030795153"</f>
        <v>9783030795153</v>
      </c>
      <c r="E3181" t="s">
        <v>756</v>
      </c>
      <c r="F3181" s="1">
        <v>44551</v>
      </c>
    </row>
    <row r="3182" spans="1:6" x14ac:dyDescent="0.25">
      <c r="A3182">
        <v>6838640</v>
      </c>
      <c r="B3182" t="s">
        <v>3228</v>
      </c>
      <c r="C3182" t="str">
        <f>"9783658357634"</f>
        <v>9783658357634</v>
      </c>
      <c r="D3182" t="str">
        <f>"9783658357641"</f>
        <v>9783658357641</v>
      </c>
      <c r="E3182" t="s">
        <v>1391</v>
      </c>
      <c r="F3182" s="1">
        <v>44553</v>
      </c>
    </row>
    <row r="3183" spans="1:6" x14ac:dyDescent="0.25">
      <c r="A3183">
        <v>6838680</v>
      </c>
      <c r="B3183" t="s">
        <v>3229</v>
      </c>
      <c r="C3183" t="str">
        <f>"9783030773625"</f>
        <v>9783030773625</v>
      </c>
      <c r="D3183" t="str">
        <f>"9783030773632"</f>
        <v>9783030773632</v>
      </c>
      <c r="E3183" t="s">
        <v>756</v>
      </c>
      <c r="F3183" s="1">
        <v>44552</v>
      </c>
    </row>
    <row r="3184" spans="1:6" x14ac:dyDescent="0.25">
      <c r="A3184">
        <v>6838723</v>
      </c>
      <c r="B3184" t="s">
        <v>2164</v>
      </c>
      <c r="C3184" t="str">
        <f>"9783030859176"</f>
        <v>9783030859176</v>
      </c>
      <c r="D3184" t="str">
        <f>"9783030859183"</f>
        <v>9783030859183</v>
      </c>
      <c r="E3184" t="s">
        <v>756</v>
      </c>
      <c r="F3184" s="1">
        <v>44549</v>
      </c>
    </row>
    <row r="3185" spans="1:6" x14ac:dyDescent="0.25">
      <c r="A3185">
        <v>6838776</v>
      </c>
      <c r="B3185" t="s">
        <v>3230</v>
      </c>
      <c r="C3185" t="str">
        <f>"9783030837792"</f>
        <v>9783030837792</v>
      </c>
      <c r="D3185" t="str">
        <f>"9783030837808"</f>
        <v>9783030837808</v>
      </c>
      <c r="E3185" t="s">
        <v>756</v>
      </c>
      <c r="F3185" s="1">
        <v>44548</v>
      </c>
    </row>
    <row r="3186" spans="1:6" x14ac:dyDescent="0.25">
      <c r="A3186">
        <v>6838799</v>
      </c>
      <c r="B3186" t="s">
        <v>3231</v>
      </c>
      <c r="C3186" t="str">
        <f>"9783662633250"</f>
        <v>9783662633250</v>
      </c>
      <c r="D3186" t="str">
        <f>"9783662633267"</f>
        <v>9783662633267</v>
      </c>
      <c r="E3186" t="s">
        <v>1416</v>
      </c>
      <c r="F3186" s="1">
        <v>44591</v>
      </c>
    </row>
    <row r="3187" spans="1:6" x14ac:dyDescent="0.25">
      <c r="A3187">
        <v>6838834</v>
      </c>
      <c r="B3187" t="s">
        <v>3232</v>
      </c>
      <c r="C3187" t="str">
        <f>"9789811668104"</f>
        <v>9789811668104</v>
      </c>
      <c r="D3187" t="str">
        <f>"9789811668111"</f>
        <v>9789811668111</v>
      </c>
      <c r="E3187" t="s">
        <v>1177</v>
      </c>
      <c r="F3187" s="1">
        <v>44560</v>
      </c>
    </row>
    <row r="3188" spans="1:6" x14ac:dyDescent="0.25">
      <c r="A3188">
        <v>6838904</v>
      </c>
      <c r="B3188" t="s">
        <v>3233</v>
      </c>
      <c r="C3188" t="str">
        <f>"9783658346973"</f>
        <v>9783658346973</v>
      </c>
      <c r="D3188" t="str">
        <f>"9783658346980"</f>
        <v>9783658346980</v>
      </c>
      <c r="E3188" t="s">
        <v>1391</v>
      </c>
      <c r="F3188" s="1">
        <v>44552</v>
      </c>
    </row>
    <row r="3189" spans="1:6" x14ac:dyDescent="0.25">
      <c r="A3189">
        <v>6838905</v>
      </c>
      <c r="B3189" t="s">
        <v>3234</v>
      </c>
      <c r="C3189" t="str">
        <f>"9789811649103"</f>
        <v>9789811649103</v>
      </c>
      <c r="D3189" t="str">
        <f>"9789811649110"</f>
        <v>9789811649110</v>
      </c>
      <c r="E3189" t="s">
        <v>1177</v>
      </c>
      <c r="F3189" s="1">
        <v>44551</v>
      </c>
    </row>
    <row r="3190" spans="1:6" x14ac:dyDescent="0.25">
      <c r="A3190">
        <v>6838935</v>
      </c>
      <c r="B3190" t="s">
        <v>3235</v>
      </c>
      <c r="C3190" t="str">
        <f>"9789813342675"</f>
        <v>9789813342675</v>
      </c>
      <c r="D3190" t="str">
        <f>"9789813342682"</f>
        <v>9789813342682</v>
      </c>
      <c r="E3190" t="s">
        <v>1177</v>
      </c>
      <c r="F3190" s="1">
        <v>44549</v>
      </c>
    </row>
    <row r="3191" spans="1:6" x14ac:dyDescent="0.25">
      <c r="A3191">
        <v>6838944</v>
      </c>
      <c r="B3191" t="s">
        <v>3236</v>
      </c>
      <c r="C3191" t="str">
        <f>"9783030740313"</f>
        <v>9783030740313</v>
      </c>
      <c r="D3191" t="str">
        <f>"9783030740320"</f>
        <v>9783030740320</v>
      </c>
      <c r="E3191" t="s">
        <v>756</v>
      </c>
      <c r="F3191" s="1">
        <v>44550</v>
      </c>
    </row>
    <row r="3192" spans="1:6" x14ac:dyDescent="0.25">
      <c r="A3192">
        <v>6838959</v>
      </c>
      <c r="B3192" t="s">
        <v>3237</v>
      </c>
      <c r="C3192" t="str">
        <f>"9789811647987"</f>
        <v>9789811647987</v>
      </c>
      <c r="D3192" t="str">
        <f>"9789811647994"</f>
        <v>9789811647994</v>
      </c>
      <c r="E3192" t="s">
        <v>1177</v>
      </c>
      <c r="F3192" s="1">
        <v>44552</v>
      </c>
    </row>
    <row r="3193" spans="1:6" x14ac:dyDescent="0.25">
      <c r="A3193">
        <v>6840130</v>
      </c>
      <c r="B3193" t="s">
        <v>3238</v>
      </c>
      <c r="C3193" t="str">
        <f>"9783030846466"</f>
        <v>9783030846466</v>
      </c>
      <c r="D3193" t="str">
        <f>"9783030846473"</f>
        <v>9783030846473</v>
      </c>
      <c r="E3193" t="s">
        <v>756</v>
      </c>
      <c r="F3193" s="1">
        <v>44603</v>
      </c>
    </row>
    <row r="3194" spans="1:6" x14ac:dyDescent="0.25">
      <c r="A3194">
        <v>6840137</v>
      </c>
      <c r="B3194" t="s">
        <v>3239</v>
      </c>
      <c r="C3194" t="str">
        <f>"9783030752620"</f>
        <v>9783030752620</v>
      </c>
      <c r="D3194" t="str">
        <f>"9783030752637"</f>
        <v>9783030752637</v>
      </c>
      <c r="E3194" t="s">
        <v>756</v>
      </c>
      <c r="F3194" s="1">
        <v>44596</v>
      </c>
    </row>
    <row r="3195" spans="1:6" x14ac:dyDescent="0.25">
      <c r="A3195">
        <v>6840154</v>
      </c>
      <c r="B3195" t="s">
        <v>3240</v>
      </c>
      <c r="C3195" t="str">
        <f>"9783030784393"</f>
        <v>9783030784393</v>
      </c>
      <c r="D3195" t="str">
        <f>"9783030784409"</f>
        <v>9783030784409</v>
      </c>
      <c r="E3195" t="s">
        <v>756</v>
      </c>
      <c r="F3195" s="1">
        <v>44565</v>
      </c>
    </row>
    <row r="3196" spans="1:6" x14ac:dyDescent="0.25">
      <c r="A3196">
        <v>6840160</v>
      </c>
      <c r="B3196" t="s">
        <v>3241</v>
      </c>
      <c r="C3196" t="str">
        <f>"9789811680434"</f>
        <v>9789811680434</v>
      </c>
      <c r="D3196" t="str">
        <f>"9789811680441"</f>
        <v>9789811680441</v>
      </c>
      <c r="E3196" t="s">
        <v>757</v>
      </c>
      <c r="F3196" s="1">
        <v>44565</v>
      </c>
    </row>
    <row r="3197" spans="1:6" x14ac:dyDescent="0.25">
      <c r="A3197">
        <v>6841090</v>
      </c>
      <c r="B3197" t="s">
        <v>3242</v>
      </c>
      <c r="C3197" t="str">
        <f>"9783030853211"</f>
        <v>9783030853211</v>
      </c>
      <c r="D3197" t="str">
        <f>"9783030853228"</f>
        <v>9783030853228</v>
      </c>
      <c r="E3197" t="s">
        <v>756</v>
      </c>
      <c r="F3197" s="1">
        <v>44592</v>
      </c>
    </row>
    <row r="3198" spans="1:6" x14ac:dyDescent="0.25">
      <c r="A3198">
        <v>6845970</v>
      </c>
      <c r="B3198" t="s">
        <v>3243</v>
      </c>
      <c r="C3198" t="str">
        <f>"9783030947507"</f>
        <v>9783030947507</v>
      </c>
      <c r="D3198" t="str">
        <f>"9783030947514"</f>
        <v>9783030947514</v>
      </c>
      <c r="E3198" t="s">
        <v>756</v>
      </c>
      <c r="F3198" s="1">
        <v>44603</v>
      </c>
    </row>
    <row r="3199" spans="1:6" x14ac:dyDescent="0.25">
      <c r="A3199">
        <v>6845974</v>
      </c>
      <c r="B3199" t="s">
        <v>3244</v>
      </c>
      <c r="C3199" t="str">
        <f>"9783030678173"</f>
        <v>9783030678173</v>
      </c>
      <c r="D3199" t="str">
        <f>"9783030678180"</f>
        <v>9783030678180</v>
      </c>
      <c r="E3199" t="s">
        <v>756</v>
      </c>
      <c r="F3199" s="1">
        <v>44608</v>
      </c>
    </row>
    <row r="3200" spans="1:6" x14ac:dyDescent="0.25">
      <c r="A3200">
        <v>6845980</v>
      </c>
      <c r="B3200" t="s">
        <v>3245</v>
      </c>
      <c r="C3200" t="str">
        <f>"9783030701307"</f>
        <v>9783030701307</v>
      </c>
      <c r="D3200" t="str">
        <f>"9783030701314"</f>
        <v>9783030701314</v>
      </c>
      <c r="E3200" t="s">
        <v>756</v>
      </c>
      <c r="F3200" s="1">
        <v>44569</v>
      </c>
    </row>
    <row r="3201" spans="1:6" x14ac:dyDescent="0.25">
      <c r="A3201">
        <v>6846445</v>
      </c>
      <c r="B3201" t="s">
        <v>3246</v>
      </c>
      <c r="C3201" t="str">
        <f>"9789633863800"</f>
        <v>9789633863800</v>
      </c>
      <c r="D3201" t="str">
        <f>"9789633863817"</f>
        <v>9789633863817</v>
      </c>
      <c r="E3201" t="s">
        <v>576</v>
      </c>
      <c r="F3201" s="1">
        <v>44607</v>
      </c>
    </row>
    <row r="3202" spans="1:6" x14ac:dyDescent="0.25">
      <c r="A3202">
        <v>6846891</v>
      </c>
      <c r="B3202" t="s">
        <v>3247</v>
      </c>
      <c r="C3202" t="str">
        <f>"9780472038916"</f>
        <v>9780472038916</v>
      </c>
      <c r="D3202" t="str">
        <f>"9780472902644"</f>
        <v>9780472902644</v>
      </c>
      <c r="E3202" t="s">
        <v>689</v>
      </c>
      <c r="F3202" s="1">
        <v>44566</v>
      </c>
    </row>
    <row r="3203" spans="1:6" x14ac:dyDescent="0.25">
      <c r="A3203">
        <v>6850455</v>
      </c>
      <c r="B3203" t="s">
        <v>3248</v>
      </c>
      <c r="C3203" t="str">
        <f>"9783658364106"</f>
        <v>9783658364106</v>
      </c>
      <c r="D3203" t="str">
        <f>"9783658364113"</f>
        <v>9783658364113</v>
      </c>
      <c r="E3203" t="s">
        <v>1391</v>
      </c>
      <c r="F3203" s="1">
        <v>44601</v>
      </c>
    </row>
    <row r="3204" spans="1:6" x14ac:dyDescent="0.25">
      <c r="A3204">
        <v>6850469</v>
      </c>
      <c r="B3204" t="s">
        <v>3249</v>
      </c>
      <c r="C3204" t="str">
        <f>"9783030780623"</f>
        <v>9783030780623</v>
      </c>
      <c r="D3204" t="str">
        <f>"9783030780630"</f>
        <v>9783030780630</v>
      </c>
      <c r="E3204" t="s">
        <v>756</v>
      </c>
      <c r="F3204" s="1">
        <v>44596</v>
      </c>
    </row>
    <row r="3205" spans="1:6" x14ac:dyDescent="0.25">
      <c r="A3205">
        <v>6850554</v>
      </c>
      <c r="B3205" t="s">
        <v>3250</v>
      </c>
      <c r="C3205" t="str">
        <f>"9781800642676"</f>
        <v>9781800642676</v>
      </c>
      <c r="D3205" t="str">
        <f>"9781800642683"</f>
        <v>9781800642683</v>
      </c>
      <c r="E3205" t="s">
        <v>580</v>
      </c>
      <c r="F3205" s="1">
        <v>44545</v>
      </c>
    </row>
    <row r="3206" spans="1:6" x14ac:dyDescent="0.25">
      <c r="A3206">
        <v>6850555</v>
      </c>
      <c r="B3206" t="s">
        <v>3251</v>
      </c>
      <c r="C3206" t="str">
        <f>"9781800642973"</f>
        <v>9781800642973</v>
      </c>
      <c r="D3206" t="str">
        <f>"9781800642980"</f>
        <v>9781800642980</v>
      </c>
      <c r="E3206" t="s">
        <v>580</v>
      </c>
      <c r="F3206" s="1">
        <v>44536</v>
      </c>
    </row>
    <row r="3207" spans="1:6" x14ac:dyDescent="0.25">
      <c r="A3207">
        <v>6850556</v>
      </c>
      <c r="B3207" t="s">
        <v>3252</v>
      </c>
      <c r="C3207" t="str">
        <f>"9781800643215"</f>
        <v>9781800643215</v>
      </c>
      <c r="D3207" t="str">
        <f>"9781800643222"</f>
        <v>9781800643222</v>
      </c>
      <c r="E3207" t="s">
        <v>580</v>
      </c>
      <c r="F3207" s="1">
        <v>44545</v>
      </c>
    </row>
    <row r="3208" spans="1:6" x14ac:dyDescent="0.25">
      <c r="A3208">
        <v>6852152</v>
      </c>
      <c r="B3208" t="s">
        <v>3253</v>
      </c>
      <c r="C3208" t="str">
        <f>"9783030845131"</f>
        <v>9783030845131</v>
      </c>
      <c r="D3208" t="str">
        <f>"9783030845148"</f>
        <v>9783030845148</v>
      </c>
      <c r="E3208" t="s">
        <v>756</v>
      </c>
      <c r="F3208" s="1">
        <v>44573</v>
      </c>
    </row>
    <row r="3209" spans="1:6" x14ac:dyDescent="0.25">
      <c r="A3209">
        <v>6852900</v>
      </c>
      <c r="B3209" t="s">
        <v>3254</v>
      </c>
      <c r="C3209" t="str">
        <f>"9789027210784"</f>
        <v>9789027210784</v>
      </c>
      <c r="D3209" t="str">
        <f>"9789027258168"</f>
        <v>9789027258168</v>
      </c>
      <c r="E3209" t="s">
        <v>413</v>
      </c>
      <c r="F3209" s="1">
        <v>44601</v>
      </c>
    </row>
    <row r="3210" spans="1:6" x14ac:dyDescent="0.25">
      <c r="A3210">
        <v>6854483</v>
      </c>
      <c r="B3210" t="s">
        <v>3255</v>
      </c>
      <c r="C3210" t="str">
        <f>"9783030788520"</f>
        <v>9783030788520</v>
      </c>
      <c r="D3210" t="str">
        <f>"9783030788537"</f>
        <v>9783030788537</v>
      </c>
      <c r="E3210" t="s">
        <v>756</v>
      </c>
      <c r="F3210" s="1">
        <v>44610</v>
      </c>
    </row>
    <row r="3211" spans="1:6" x14ac:dyDescent="0.25">
      <c r="A3211">
        <v>6854734</v>
      </c>
      <c r="B3211" t="s">
        <v>3256</v>
      </c>
      <c r="C3211" t="str">
        <f>"9783658363673"</f>
        <v>9783658363673</v>
      </c>
      <c r="D3211" t="str">
        <f>"9783658363680"</f>
        <v>9783658363680</v>
      </c>
      <c r="E3211" t="s">
        <v>1391</v>
      </c>
      <c r="F3211" s="1">
        <v>44575</v>
      </c>
    </row>
    <row r="3212" spans="1:6" x14ac:dyDescent="0.25">
      <c r="A3212">
        <v>6854864</v>
      </c>
      <c r="B3212" t="s">
        <v>3257</v>
      </c>
      <c r="C3212" t="str">
        <f>"9783662646328"</f>
        <v>9783662646328</v>
      </c>
      <c r="D3212" t="str">
        <f>"9783662646335"</f>
        <v>9783662646335</v>
      </c>
      <c r="E3212" t="s">
        <v>1852</v>
      </c>
      <c r="F3212" s="1">
        <v>44606</v>
      </c>
    </row>
    <row r="3213" spans="1:6" x14ac:dyDescent="0.25">
      <c r="A3213">
        <v>6855260</v>
      </c>
      <c r="B3213" t="s">
        <v>3258</v>
      </c>
      <c r="C3213" t="str">
        <f>"9783030890094"</f>
        <v>9783030890094</v>
      </c>
      <c r="D3213" t="str">
        <f>"9783030890100"</f>
        <v>9783030890100</v>
      </c>
      <c r="E3213" t="s">
        <v>756</v>
      </c>
      <c r="F3213" s="1">
        <v>44575</v>
      </c>
    </row>
    <row r="3214" spans="1:6" x14ac:dyDescent="0.25">
      <c r="A3214">
        <v>6855292</v>
      </c>
      <c r="B3214" t="s">
        <v>3259</v>
      </c>
      <c r="C3214" t="str">
        <f>"9783658361600"</f>
        <v>9783658361600</v>
      </c>
      <c r="D3214" t="str">
        <f>"9783658361617"</f>
        <v>9783658361617</v>
      </c>
      <c r="E3214" t="s">
        <v>1391</v>
      </c>
      <c r="F3214" s="1">
        <v>44575</v>
      </c>
    </row>
    <row r="3215" spans="1:6" x14ac:dyDescent="0.25">
      <c r="A3215">
        <v>6855517</v>
      </c>
      <c r="B3215" t="s">
        <v>3260</v>
      </c>
      <c r="C3215" t="str">
        <f>"9783030885083"</f>
        <v>9783030885083</v>
      </c>
      <c r="D3215" t="str">
        <f>"9783030885090"</f>
        <v>9783030885090</v>
      </c>
      <c r="E3215" t="s">
        <v>756</v>
      </c>
      <c r="F3215" s="1">
        <v>44574</v>
      </c>
    </row>
    <row r="3216" spans="1:6" x14ac:dyDescent="0.25">
      <c r="A3216">
        <v>6857696</v>
      </c>
      <c r="B3216" t="s">
        <v>3261</v>
      </c>
      <c r="C3216" t="str">
        <f>""</f>
        <v/>
      </c>
      <c r="D3216" t="str">
        <f>"9789179291846"</f>
        <v>9789179291846</v>
      </c>
      <c r="E3216" t="s">
        <v>1268</v>
      </c>
      <c r="F3216" s="1">
        <v>44575</v>
      </c>
    </row>
    <row r="3217" spans="1:6" x14ac:dyDescent="0.25">
      <c r="A3217">
        <v>6857697</v>
      </c>
      <c r="B3217" t="s">
        <v>3262</v>
      </c>
      <c r="C3217" t="str">
        <f>""</f>
        <v/>
      </c>
      <c r="D3217" t="str">
        <f>"9789179291914"</f>
        <v>9789179291914</v>
      </c>
      <c r="E3217" t="s">
        <v>1268</v>
      </c>
      <c r="F3217" s="1">
        <v>44574</v>
      </c>
    </row>
    <row r="3218" spans="1:6" x14ac:dyDescent="0.25">
      <c r="A3218">
        <v>6859756</v>
      </c>
      <c r="B3218" t="s">
        <v>3263</v>
      </c>
      <c r="C3218" t="str">
        <f>"9789633863763"</f>
        <v>9789633863763</v>
      </c>
      <c r="D3218" t="str">
        <f>"9789633863770"</f>
        <v>9789633863770</v>
      </c>
      <c r="E3218" t="s">
        <v>576</v>
      </c>
      <c r="F3218" s="1">
        <v>44607</v>
      </c>
    </row>
    <row r="3219" spans="1:6" x14ac:dyDescent="0.25">
      <c r="A3219">
        <v>6869058</v>
      </c>
      <c r="B3219" t="s">
        <v>3264</v>
      </c>
      <c r="C3219" t="str">
        <f>"9780472073023"</f>
        <v>9780472073023</v>
      </c>
      <c r="D3219" t="str">
        <f>"9780472900671"</f>
        <v>9780472900671</v>
      </c>
      <c r="E3219" t="s">
        <v>689</v>
      </c>
      <c r="F3219" s="1">
        <v>42500</v>
      </c>
    </row>
    <row r="3220" spans="1:6" x14ac:dyDescent="0.25">
      <c r="A3220">
        <v>6869059</v>
      </c>
      <c r="B3220" t="s">
        <v>3265</v>
      </c>
      <c r="C3220" t="str">
        <f>"9780472072804"</f>
        <v>9780472072804</v>
      </c>
      <c r="D3220" t="str">
        <f>"9780472900077"</f>
        <v>9780472900077</v>
      </c>
      <c r="E3220" t="s">
        <v>689</v>
      </c>
      <c r="F3220" s="1">
        <v>42263</v>
      </c>
    </row>
    <row r="3221" spans="1:6" x14ac:dyDescent="0.25">
      <c r="A3221">
        <v>6869060</v>
      </c>
      <c r="B3221" t="s">
        <v>3266</v>
      </c>
      <c r="C3221" t="str">
        <f>"9780472074563"</f>
        <v>9780472074563</v>
      </c>
      <c r="D3221" t="str">
        <f>"9780472901296"</f>
        <v>9780472901296</v>
      </c>
      <c r="E3221" t="s">
        <v>689</v>
      </c>
      <c r="F3221" s="1">
        <v>44130</v>
      </c>
    </row>
    <row r="3222" spans="1:6" x14ac:dyDescent="0.25">
      <c r="A3222">
        <v>6869061</v>
      </c>
      <c r="B3222" t="s">
        <v>3267</v>
      </c>
      <c r="C3222" t="str">
        <f>"9780472130917"</f>
        <v>9780472130917</v>
      </c>
      <c r="D3222" t="str">
        <f>"9780472902613"</f>
        <v>9780472902613</v>
      </c>
      <c r="E3222" t="s">
        <v>689</v>
      </c>
      <c r="F3222" s="1">
        <v>43373</v>
      </c>
    </row>
    <row r="3223" spans="1:6" x14ac:dyDescent="0.25">
      <c r="A3223">
        <v>6869065</v>
      </c>
      <c r="B3223" t="s">
        <v>3268</v>
      </c>
      <c r="C3223" t="str">
        <f>"9780472109524"</f>
        <v>9780472109524</v>
      </c>
      <c r="D3223" t="str">
        <f>"9780472900732"</f>
        <v>9780472900732</v>
      </c>
      <c r="E3223" t="s">
        <v>689</v>
      </c>
      <c r="F3223" s="1">
        <v>36083</v>
      </c>
    </row>
    <row r="3224" spans="1:6" x14ac:dyDescent="0.25">
      <c r="A3224">
        <v>6869274</v>
      </c>
      <c r="B3224" t="s">
        <v>3269</v>
      </c>
      <c r="C3224" t="str">
        <f>""</f>
        <v/>
      </c>
      <c r="D3224" t="str">
        <f>"9789179291648"</f>
        <v>9789179291648</v>
      </c>
      <c r="E3224" t="s">
        <v>1268</v>
      </c>
      <c r="F3224" s="1">
        <v>44546</v>
      </c>
    </row>
    <row r="3225" spans="1:6" x14ac:dyDescent="0.25">
      <c r="A3225">
        <v>6870834</v>
      </c>
      <c r="B3225" t="s">
        <v>3270</v>
      </c>
      <c r="C3225" t="str">
        <f>"9781478015260"</f>
        <v>9781478015260</v>
      </c>
      <c r="D3225" t="str">
        <f>"9781478091820"</f>
        <v>9781478091820</v>
      </c>
      <c r="E3225" t="s">
        <v>174</v>
      </c>
      <c r="F3225" s="1">
        <v>44603</v>
      </c>
    </row>
    <row r="3226" spans="1:6" x14ac:dyDescent="0.25">
      <c r="A3226">
        <v>6870835</v>
      </c>
      <c r="B3226" t="s">
        <v>3271</v>
      </c>
      <c r="C3226" t="str">
        <f>"9781478009801"</f>
        <v>9781478009801</v>
      </c>
      <c r="D3226" t="str">
        <f>"9781478092452"</f>
        <v>9781478092452</v>
      </c>
      <c r="E3226" t="s">
        <v>174</v>
      </c>
      <c r="F3226" s="1">
        <v>44645</v>
      </c>
    </row>
    <row r="3227" spans="1:6" x14ac:dyDescent="0.25">
      <c r="A3227">
        <v>6870836</v>
      </c>
      <c r="B3227" t="s">
        <v>3272</v>
      </c>
      <c r="C3227" t="str">
        <f>"9781478015314"</f>
        <v>9781478015314</v>
      </c>
      <c r="D3227" t="str">
        <f>"9781478092445"</f>
        <v>9781478092445</v>
      </c>
      <c r="E3227" t="s">
        <v>174</v>
      </c>
      <c r="F3227" s="1">
        <v>44624</v>
      </c>
    </row>
    <row r="3228" spans="1:6" x14ac:dyDescent="0.25">
      <c r="A3228">
        <v>6871063</v>
      </c>
      <c r="B3228" t="s">
        <v>3273</v>
      </c>
      <c r="C3228" t="str">
        <f>"9781644690642"</f>
        <v>9781644690642</v>
      </c>
      <c r="D3228" t="str">
        <f>"9781644690659"</f>
        <v>9781644690659</v>
      </c>
      <c r="E3228" t="s">
        <v>514</v>
      </c>
      <c r="F3228" s="1">
        <v>43921</v>
      </c>
    </row>
    <row r="3229" spans="1:6" x14ac:dyDescent="0.25">
      <c r="A3229">
        <v>6871064</v>
      </c>
      <c r="B3229" t="s">
        <v>3274</v>
      </c>
      <c r="C3229" t="str">
        <f>"9781618118363"</f>
        <v>9781618118363</v>
      </c>
      <c r="D3229" t="str">
        <f>"9781644691137"</f>
        <v>9781644691137</v>
      </c>
      <c r="E3229" t="s">
        <v>514</v>
      </c>
      <c r="F3229" s="1">
        <v>43781</v>
      </c>
    </row>
    <row r="3230" spans="1:6" x14ac:dyDescent="0.25">
      <c r="A3230">
        <v>6871212</v>
      </c>
      <c r="B3230" t="s">
        <v>3275</v>
      </c>
      <c r="C3230" t="str">
        <f>"9783030769697"</f>
        <v>9783030769697</v>
      </c>
      <c r="D3230" t="str">
        <f>"9783030769703"</f>
        <v>9783030769703</v>
      </c>
      <c r="E3230" t="s">
        <v>756</v>
      </c>
      <c r="F3230" s="1">
        <v>44611</v>
      </c>
    </row>
    <row r="3231" spans="1:6" x14ac:dyDescent="0.25">
      <c r="A3231">
        <v>6871862</v>
      </c>
      <c r="B3231" t="s">
        <v>3276</v>
      </c>
      <c r="C3231" t="str">
        <f>"9781618114303"</f>
        <v>9781618114303</v>
      </c>
      <c r="D3231" t="str">
        <f>"9781618119230"</f>
        <v>9781618119230</v>
      </c>
      <c r="E3231" t="s">
        <v>514</v>
      </c>
      <c r="F3231" s="1">
        <v>42109</v>
      </c>
    </row>
    <row r="3232" spans="1:6" x14ac:dyDescent="0.25">
      <c r="A3232">
        <v>6874774</v>
      </c>
      <c r="B3232" t="s">
        <v>3277</v>
      </c>
      <c r="C3232" t="str">
        <f>"9783030846893"</f>
        <v>9783030846893</v>
      </c>
      <c r="D3232" t="str">
        <f>"9783030846909"</f>
        <v>9783030846909</v>
      </c>
      <c r="E3232" t="s">
        <v>756</v>
      </c>
      <c r="F3232" s="1">
        <v>44584</v>
      </c>
    </row>
    <row r="3233" spans="1:6" x14ac:dyDescent="0.25">
      <c r="A3233">
        <v>6874796</v>
      </c>
      <c r="B3233" t="s">
        <v>3278</v>
      </c>
      <c r="C3233" t="str">
        <f>"9789811692284"</f>
        <v>9789811692284</v>
      </c>
      <c r="D3233" t="str">
        <f>"9789811692291"</f>
        <v>9789811692291</v>
      </c>
      <c r="E3233" t="s">
        <v>1177</v>
      </c>
      <c r="F3233" s="1">
        <v>44583</v>
      </c>
    </row>
    <row r="3234" spans="1:6" x14ac:dyDescent="0.25">
      <c r="A3234">
        <v>6874848</v>
      </c>
      <c r="B3234" t="s">
        <v>3279</v>
      </c>
      <c r="C3234" t="str">
        <f>"9789811668265"</f>
        <v>9789811668265</v>
      </c>
      <c r="D3234" t="str">
        <f>"9789811668272"</f>
        <v>9789811668272</v>
      </c>
      <c r="E3234" t="s">
        <v>1177</v>
      </c>
      <c r="F3234" s="1">
        <v>44624</v>
      </c>
    </row>
    <row r="3235" spans="1:6" x14ac:dyDescent="0.25">
      <c r="A3235">
        <v>6874868</v>
      </c>
      <c r="B3235" t="s">
        <v>3280</v>
      </c>
      <c r="C3235" t="str">
        <f>"9789811677144"</f>
        <v>9789811677144</v>
      </c>
      <c r="D3235" t="str">
        <f>"9789811677151"</f>
        <v>9789811677151</v>
      </c>
      <c r="E3235" t="s">
        <v>1177</v>
      </c>
      <c r="F3235" s="1">
        <v>44587</v>
      </c>
    </row>
    <row r="3236" spans="1:6" x14ac:dyDescent="0.25">
      <c r="A3236">
        <v>6874872</v>
      </c>
      <c r="B3236" t="s">
        <v>3281</v>
      </c>
      <c r="C3236" t="str">
        <f>"9789811666902"</f>
        <v>9789811666902</v>
      </c>
      <c r="D3236" t="str">
        <f>"9789811666919"</f>
        <v>9789811666919</v>
      </c>
      <c r="E3236" t="s">
        <v>1177</v>
      </c>
      <c r="F3236" s="1">
        <v>44586</v>
      </c>
    </row>
    <row r="3237" spans="1:6" x14ac:dyDescent="0.25">
      <c r="A3237">
        <v>6874889</v>
      </c>
      <c r="B3237" t="s">
        <v>3282</v>
      </c>
      <c r="C3237" t="str">
        <f>"9783030868963"</f>
        <v>9783030868963</v>
      </c>
      <c r="D3237" t="str">
        <f>"9783030868970"</f>
        <v>9783030868970</v>
      </c>
      <c r="E3237" t="s">
        <v>756</v>
      </c>
      <c r="F3237" s="1">
        <v>44583</v>
      </c>
    </row>
    <row r="3238" spans="1:6" x14ac:dyDescent="0.25">
      <c r="A3238">
        <v>6875089</v>
      </c>
      <c r="B3238" t="s">
        <v>3283</v>
      </c>
      <c r="C3238" t="str">
        <f>"9783319918419"</f>
        <v>9783319918419</v>
      </c>
      <c r="D3238" t="str">
        <f>"9783319918433"</f>
        <v>9783319918433</v>
      </c>
      <c r="E3238" t="s">
        <v>756</v>
      </c>
      <c r="F3238" s="1">
        <v>44582</v>
      </c>
    </row>
    <row r="3239" spans="1:6" x14ac:dyDescent="0.25">
      <c r="A3239">
        <v>6875108</v>
      </c>
      <c r="B3239" t="s">
        <v>3284</v>
      </c>
      <c r="C3239" t="str">
        <f>"9789811667909"</f>
        <v>9789811667909</v>
      </c>
      <c r="D3239" t="str">
        <f>"9789811667916"</f>
        <v>9789811667916</v>
      </c>
      <c r="E3239" t="s">
        <v>757</v>
      </c>
      <c r="F3239" s="1">
        <v>44587</v>
      </c>
    </row>
    <row r="3240" spans="1:6" x14ac:dyDescent="0.25">
      <c r="A3240">
        <v>6875122</v>
      </c>
      <c r="B3240" t="s">
        <v>3285</v>
      </c>
      <c r="C3240" t="str">
        <f>"9783030812065"</f>
        <v>9783030812065</v>
      </c>
      <c r="D3240" t="str">
        <f>"9783030812072"</f>
        <v>9783030812072</v>
      </c>
      <c r="E3240" t="s">
        <v>756</v>
      </c>
      <c r="F3240" s="1">
        <v>44581</v>
      </c>
    </row>
    <row r="3241" spans="1:6" x14ac:dyDescent="0.25">
      <c r="A3241">
        <v>6876043</v>
      </c>
      <c r="B3241" t="s">
        <v>3286</v>
      </c>
      <c r="C3241" t="str">
        <f>""</f>
        <v/>
      </c>
      <c r="D3241" t="str">
        <f>"9789179291549"</f>
        <v>9789179291549</v>
      </c>
      <c r="E3241" t="s">
        <v>1268</v>
      </c>
      <c r="F3241" s="1">
        <v>44585</v>
      </c>
    </row>
    <row r="3242" spans="1:6" x14ac:dyDescent="0.25">
      <c r="A3242">
        <v>6876156</v>
      </c>
      <c r="B3242" t="s">
        <v>3287</v>
      </c>
      <c r="C3242" t="str">
        <f>"9783030855796"</f>
        <v>9783030855796</v>
      </c>
      <c r="D3242" t="str">
        <f>"9783030855802"</f>
        <v>9783030855802</v>
      </c>
      <c r="E3242" t="s">
        <v>756</v>
      </c>
      <c r="F3242" s="1">
        <v>44628</v>
      </c>
    </row>
    <row r="3243" spans="1:6" x14ac:dyDescent="0.25">
      <c r="A3243">
        <v>6877486</v>
      </c>
      <c r="B3243" t="s">
        <v>3288</v>
      </c>
      <c r="C3243" t="str">
        <f>"9783030911935"</f>
        <v>9783030911935</v>
      </c>
      <c r="D3243" t="str">
        <f>"9783030911942"</f>
        <v>9783030911942</v>
      </c>
      <c r="E3243" t="s">
        <v>756</v>
      </c>
      <c r="F3243" s="1">
        <v>44642</v>
      </c>
    </row>
    <row r="3244" spans="1:6" x14ac:dyDescent="0.25">
      <c r="A3244">
        <v>6877730</v>
      </c>
      <c r="B3244" t="s">
        <v>3289</v>
      </c>
      <c r="C3244" t="str">
        <f>"9783030917302"</f>
        <v>9783030917302</v>
      </c>
      <c r="D3244" t="str">
        <f>"9783030917319"</f>
        <v>9783030917319</v>
      </c>
      <c r="E3244" t="s">
        <v>756</v>
      </c>
      <c r="F3244" s="1">
        <v>44630</v>
      </c>
    </row>
    <row r="3245" spans="1:6" x14ac:dyDescent="0.25">
      <c r="A3245">
        <v>6877773</v>
      </c>
      <c r="B3245" t="s">
        <v>3290</v>
      </c>
      <c r="C3245" t="str">
        <f>"9783030862107"</f>
        <v>9783030862107</v>
      </c>
      <c r="D3245" t="str">
        <f>"9783030862114"</f>
        <v>9783030862114</v>
      </c>
      <c r="E3245" t="s">
        <v>756</v>
      </c>
      <c r="F3245" s="1">
        <v>44635</v>
      </c>
    </row>
    <row r="3246" spans="1:6" x14ac:dyDescent="0.25">
      <c r="A3246">
        <v>6877842</v>
      </c>
      <c r="B3246" t="s">
        <v>3291</v>
      </c>
      <c r="C3246" t="str">
        <f>"9783030860752"</f>
        <v>9783030860752</v>
      </c>
      <c r="D3246" t="str">
        <f>"9783030860769"</f>
        <v>9783030860769</v>
      </c>
      <c r="E3246" t="s">
        <v>756</v>
      </c>
      <c r="F3246" s="1">
        <v>44636</v>
      </c>
    </row>
    <row r="3247" spans="1:6" x14ac:dyDescent="0.25">
      <c r="A3247">
        <v>6877979</v>
      </c>
      <c r="B3247" t="s">
        <v>3292</v>
      </c>
      <c r="C3247" t="str">
        <f>"9783030860042"</f>
        <v>9783030860042</v>
      </c>
      <c r="D3247" t="str">
        <f>"9783030860059"</f>
        <v>9783030860059</v>
      </c>
      <c r="E3247" t="s">
        <v>756</v>
      </c>
      <c r="F3247" s="1">
        <v>44647</v>
      </c>
    </row>
    <row r="3248" spans="1:6" x14ac:dyDescent="0.25">
      <c r="A3248">
        <v>6878098</v>
      </c>
      <c r="B3248" t="s">
        <v>3293</v>
      </c>
      <c r="C3248" t="str">
        <f>"9783030876630"</f>
        <v>9783030876630</v>
      </c>
      <c r="D3248" t="str">
        <f>"9783030876647"</f>
        <v>9783030876647</v>
      </c>
      <c r="E3248" t="s">
        <v>756</v>
      </c>
      <c r="F3248" s="1">
        <v>44635</v>
      </c>
    </row>
    <row r="3249" spans="1:6" x14ac:dyDescent="0.25">
      <c r="A3249">
        <v>6878119</v>
      </c>
      <c r="B3249" t="s">
        <v>3294</v>
      </c>
      <c r="C3249" t="str">
        <f>"9781478013860"</f>
        <v>9781478013860</v>
      </c>
      <c r="D3249" t="str">
        <f>"9781478091684"</f>
        <v>9781478091684</v>
      </c>
      <c r="E3249" t="s">
        <v>174</v>
      </c>
      <c r="F3249" s="1">
        <v>44586</v>
      </c>
    </row>
    <row r="3250" spans="1:6" x14ac:dyDescent="0.25">
      <c r="A3250">
        <v>6878120</v>
      </c>
      <c r="B3250" t="s">
        <v>3295</v>
      </c>
      <c r="C3250" t="str">
        <f>"9781478013532"</f>
        <v>9781478013532</v>
      </c>
      <c r="D3250" t="str">
        <f>"9781478091769"</f>
        <v>9781478091769</v>
      </c>
      <c r="E3250" t="s">
        <v>174</v>
      </c>
      <c r="F3250" s="1">
        <v>44519</v>
      </c>
    </row>
    <row r="3251" spans="1:6" x14ac:dyDescent="0.25">
      <c r="A3251">
        <v>6878121</v>
      </c>
      <c r="B3251" t="s">
        <v>3296</v>
      </c>
      <c r="C3251" t="str">
        <f>"9781478010746"</f>
        <v>9781478010746</v>
      </c>
      <c r="D3251" t="str">
        <f>"9781478091691"</f>
        <v>9781478091691</v>
      </c>
      <c r="E3251" t="s">
        <v>174</v>
      </c>
      <c r="F3251" s="1">
        <v>44372</v>
      </c>
    </row>
    <row r="3252" spans="1:6" x14ac:dyDescent="0.25">
      <c r="A3252">
        <v>6878122</v>
      </c>
      <c r="B3252" t="s">
        <v>3297</v>
      </c>
      <c r="C3252" t="str">
        <f>"9781478013792"</f>
        <v>9781478013792</v>
      </c>
      <c r="D3252" t="str">
        <f>"9781478091776"</f>
        <v>9781478091776</v>
      </c>
      <c r="E3252" t="s">
        <v>174</v>
      </c>
      <c r="F3252" s="1">
        <v>44505</v>
      </c>
    </row>
    <row r="3253" spans="1:6" x14ac:dyDescent="0.25">
      <c r="A3253">
        <v>6878123</v>
      </c>
      <c r="B3253" t="s">
        <v>3298</v>
      </c>
      <c r="C3253" t="str">
        <f>"9781478013686"</f>
        <v>9781478013686</v>
      </c>
      <c r="D3253" t="str">
        <f>"9781478091813"</f>
        <v>9781478091813</v>
      </c>
      <c r="E3253" t="s">
        <v>174</v>
      </c>
      <c r="F3253" s="1">
        <v>44519</v>
      </c>
    </row>
    <row r="3254" spans="1:6" x14ac:dyDescent="0.25">
      <c r="A3254">
        <v>6881097</v>
      </c>
      <c r="B3254" t="s">
        <v>3299</v>
      </c>
      <c r="C3254" t="str">
        <f>""</f>
        <v/>
      </c>
      <c r="D3254" t="str">
        <f>"9789179291976"</f>
        <v>9789179291976</v>
      </c>
      <c r="E3254" t="s">
        <v>1268</v>
      </c>
      <c r="F3254" s="1">
        <v>44588</v>
      </c>
    </row>
    <row r="3255" spans="1:6" x14ac:dyDescent="0.25">
      <c r="A3255">
        <v>6882488</v>
      </c>
      <c r="B3255" t="s">
        <v>3300</v>
      </c>
      <c r="C3255" t="str">
        <f>"9783030893965"</f>
        <v>9783030893965</v>
      </c>
      <c r="D3255" t="str">
        <f>"9783030893972"</f>
        <v>9783030893972</v>
      </c>
      <c r="E3255" t="s">
        <v>756</v>
      </c>
      <c r="F3255" s="1">
        <v>44595</v>
      </c>
    </row>
    <row r="3256" spans="1:6" x14ac:dyDescent="0.25">
      <c r="A3256">
        <v>6882491</v>
      </c>
      <c r="B3256" t="s">
        <v>3301</v>
      </c>
      <c r="C3256" t="str">
        <f>"9783030826536"</f>
        <v>9783030826536</v>
      </c>
      <c r="D3256" t="str">
        <f>"9783030826543"</f>
        <v>9783030826543</v>
      </c>
      <c r="E3256" t="s">
        <v>756</v>
      </c>
      <c r="F3256" s="1">
        <v>44632</v>
      </c>
    </row>
    <row r="3257" spans="1:6" x14ac:dyDescent="0.25">
      <c r="A3257">
        <v>6884828</v>
      </c>
      <c r="B3257" t="s">
        <v>3302</v>
      </c>
      <c r="C3257" t="str">
        <f>"9780472038527"</f>
        <v>9780472038527</v>
      </c>
      <c r="D3257" t="str">
        <f>"9780472902590"</f>
        <v>9780472902590</v>
      </c>
      <c r="E3257" t="s">
        <v>689</v>
      </c>
      <c r="F3257" s="1">
        <v>44615</v>
      </c>
    </row>
    <row r="3258" spans="1:6" x14ac:dyDescent="0.25">
      <c r="A3258">
        <v>6884889</v>
      </c>
      <c r="B3258" t="s">
        <v>3303</v>
      </c>
      <c r="C3258" t="str">
        <f>"9783030785352"</f>
        <v>9783030785352</v>
      </c>
      <c r="D3258" t="str">
        <f>"9783030785369"</f>
        <v>9783030785369</v>
      </c>
      <c r="E3258" t="s">
        <v>756</v>
      </c>
      <c r="F3258" s="1">
        <v>44600</v>
      </c>
    </row>
    <row r="3259" spans="1:6" x14ac:dyDescent="0.25">
      <c r="A3259">
        <v>6884913</v>
      </c>
      <c r="B3259" t="s">
        <v>3304</v>
      </c>
      <c r="C3259" t="str">
        <f>"9783030897918"</f>
        <v>9783030897918</v>
      </c>
      <c r="D3259" t="str">
        <f>"9783030897925"</f>
        <v>9783030897925</v>
      </c>
      <c r="E3259" t="s">
        <v>756</v>
      </c>
      <c r="F3259" s="1">
        <v>44635</v>
      </c>
    </row>
    <row r="3260" spans="1:6" x14ac:dyDescent="0.25">
      <c r="A3260">
        <v>6884928</v>
      </c>
      <c r="B3260" t="s">
        <v>3305</v>
      </c>
      <c r="C3260" t="str">
        <f>"9783030943523"</f>
        <v>9783030943523</v>
      </c>
      <c r="D3260" t="str">
        <f>"9783030943530"</f>
        <v>9783030943530</v>
      </c>
      <c r="E3260" t="s">
        <v>756</v>
      </c>
      <c r="F3260" s="1">
        <v>44616</v>
      </c>
    </row>
    <row r="3261" spans="1:6" x14ac:dyDescent="0.25">
      <c r="A3261">
        <v>6885901</v>
      </c>
      <c r="B3261" t="s">
        <v>3306</v>
      </c>
      <c r="C3261" t="str">
        <f>"9783030939502"</f>
        <v>9783030939502</v>
      </c>
      <c r="D3261" t="str">
        <f>"9783030939519"</f>
        <v>9783030939519</v>
      </c>
      <c r="E3261" t="s">
        <v>756</v>
      </c>
      <c r="F3261" s="1">
        <v>44633</v>
      </c>
    </row>
    <row r="3262" spans="1:6" x14ac:dyDescent="0.25">
      <c r="A3262">
        <v>6885922</v>
      </c>
      <c r="B3262" t="s">
        <v>3307</v>
      </c>
      <c r="C3262" t="str">
        <f>"9783030827854"</f>
        <v>9783030827854</v>
      </c>
      <c r="D3262" t="str">
        <f>"9783030827861"</f>
        <v>9783030827861</v>
      </c>
      <c r="E3262" t="s">
        <v>756</v>
      </c>
      <c r="F3262" s="1">
        <v>44633</v>
      </c>
    </row>
    <row r="3263" spans="1:6" x14ac:dyDescent="0.25">
      <c r="A3263">
        <v>6886954</v>
      </c>
      <c r="B3263" t="s">
        <v>3308</v>
      </c>
      <c r="C3263" t="str">
        <f>"9781800643031"</f>
        <v>9781800643031</v>
      </c>
      <c r="D3263" t="str">
        <f>"9781800643048"</f>
        <v>9781800643048</v>
      </c>
      <c r="E3263" t="s">
        <v>580</v>
      </c>
      <c r="F3263" s="1">
        <v>44593</v>
      </c>
    </row>
    <row r="3264" spans="1:6" x14ac:dyDescent="0.25">
      <c r="A3264">
        <v>6886955</v>
      </c>
      <c r="B3264" t="s">
        <v>3309</v>
      </c>
      <c r="C3264" t="str">
        <f>"9781800642430"</f>
        <v>9781800642430</v>
      </c>
      <c r="D3264" t="str">
        <f>"9781800642447"</f>
        <v>9781800642447</v>
      </c>
      <c r="E3264" t="s">
        <v>580</v>
      </c>
      <c r="F3264" s="1">
        <v>44599</v>
      </c>
    </row>
    <row r="3265" spans="1:6" x14ac:dyDescent="0.25">
      <c r="A3265">
        <v>6886956</v>
      </c>
      <c r="B3265" t="s">
        <v>3310</v>
      </c>
      <c r="C3265" t="str">
        <f>"9781800643093"</f>
        <v>9781800643093</v>
      </c>
      <c r="D3265" t="str">
        <f>"9781800643109"</f>
        <v>9781800643109</v>
      </c>
      <c r="E3265" t="s">
        <v>580</v>
      </c>
      <c r="F3265" s="1">
        <v>44580</v>
      </c>
    </row>
    <row r="3266" spans="1:6" x14ac:dyDescent="0.25">
      <c r="A3266">
        <v>6887009</v>
      </c>
      <c r="B3266" t="s">
        <v>3311</v>
      </c>
      <c r="C3266" t="str">
        <f>"9783030894450"</f>
        <v>9783030894450</v>
      </c>
      <c r="D3266" t="str">
        <f>"9783030894467"</f>
        <v>9783030894467</v>
      </c>
      <c r="E3266" t="s">
        <v>756</v>
      </c>
      <c r="F3266" s="1">
        <v>44641</v>
      </c>
    </row>
    <row r="3267" spans="1:6" x14ac:dyDescent="0.25">
      <c r="A3267">
        <v>6887015</v>
      </c>
      <c r="B3267" t="s">
        <v>3312</v>
      </c>
      <c r="C3267" t="str">
        <f>"9783030930349"</f>
        <v>9783030930349</v>
      </c>
      <c r="D3267" t="str">
        <f>"9783030930356"</f>
        <v>9783030930356</v>
      </c>
      <c r="E3267" t="s">
        <v>756</v>
      </c>
      <c r="F3267" s="1">
        <v>44640</v>
      </c>
    </row>
    <row r="3268" spans="1:6" x14ac:dyDescent="0.25">
      <c r="A3268">
        <v>6887180</v>
      </c>
      <c r="B3268" t="s">
        <v>3313</v>
      </c>
      <c r="C3268" t="str">
        <f>"9783030891466"</f>
        <v>9783030891466</v>
      </c>
      <c r="D3268" t="str">
        <f>"9783030891473"</f>
        <v>9783030891473</v>
      </c>
      <c r="E3268" t="s">
        <v>756</v>
      </c>
      <c r="F3268" s="1">
        <v>44640</v>
      </c>
    </row>
    <row r="3269" spans="1:6" x14ac:dyDescent="0.25">
      <c r="A3269">
        <v>6887200</v>
      </c>
      <c r="B3269" t="s">
        <v>3314</v>
      </c>
      <c r="C3269" t="str">
        <f>"9783030936532"</f>
        <v>9783030936532</v>
      </c>
      <c r="D3269" t="str">
        <f>"9783030936549"</f>
        <v>9783030936549</v>
      </c>
      <c r="E3269" t="s">
        <v>756</v>
      </c>
      <c r="F3269" s="1">
        <v>44646</v>
      </c>
    </row>
    <row r="3270" spans="1:6" x14ac:dyDescent="0.25">
      <c r="A3270">
        <v>6887234</v>
      </c>
      <c r="B3270" t="s">
        <v>3315</v>
      </c>
      <c r="C3270" t="str">
        <f>""</f>
        <v/>
      </c>
      <c r="D3270" t="str">
        <f>"9789179291952"</f>
        <v>9789179291952</v>
      </c>
      <c r="E3270" t="s">
        <v>1268</v>
      </c>
      <c r="F3270" s="1">
        <v>44545</v>
      </c>
    </row>
    <row r="3271" spans="1:6" x14ac:dyDescent="0.25">
      <c r="A3271">
        <v>6887237</v>
      </c>
      <c r="B3271" t="s">
        <v>3316</v>
      </c>
      <c r="C3271" t="str">
        <f>""</f>
        <v/>
      </c>
      <c r="D3271" t="str">
        <f>"9789179291686"</f>
        <v>9789179291686</v>
      </c>
      <c r="E3271" t="s">
        <v>1268</v>
      </c>
      <c r="F3271" s="1">
        <v>44599</v>
      </c>
    </row>
    <row r="3272" spans="1:6" x14ac:dyDescent="0.25">
      <c r="A3272">
        <v>6887326</v>
      </c>
      <c r="B3272" t="s">
        <v>3317</v>
      </c>
      <c r="C3272" t="str">
        <f>"9783030894047"</f>
        <v>9783030894047</v>
      </c>
      <c r="D3272" t="str">
        <f>"9783030894054"</f>
        <v>9783030894054</v>
      </c>
      <c r="E3272" t="s">
        <v>756</v>
      </c>
      <c r="F3272" s="1">
        <v>44649</v>
      </c>
    </row>
    <row r="3273" spans="1:6" x14ac:dyDescent="0.25">
      <c r="A3273">
        <v>6888358</v>
      </c>
      <c r="B3273" t="s">
        <v>3318</v>
      </c>
      <c r="C3273" t="str">
        <f>"9783030780395"</f>
        <v>9783030780395</v>
      </c>
      <c r="D3273" t="str">
        <f>"9783030780401"</f>
        <v>9783030780401</v>
      </c>
      <c r="E3273" t="s">
        <v>756</v>
      </c>
      <c r="F3273" s="1">
        <v>44641</v>
      </c>
    </row>
    <row r="3274" spans="1:6" x14ac:dyDescent="0.25">
      <c r="A3274">
        <v>6889616</v>
      </c>
      <c r="B3274" t="s">
        <v>3319</v>
      </c>
      <c r="C3274" t="str">
        <f>"9783030909833"</f>
        <v>9783030909833</v>
      </c>
      <c r="D3274" t="str">
        <f>"9783030909840"</f>
        <v>9783030909840</v>
      </c>
      <c r="E3274" t="s">
        <v>756</v>
      </c>
      <c r="F3274" s="1">
        <v>44608</v>
      </c>
    </row>
    <row r="3275" spans="1:6" x14ac:dyDescent="0.25">
      <c r="A3275">
        <v>6889645</v>
      </c>
      <c r="B3275" t="s">
        <v>3320</v>
      </c>
      <c r="C3275" t="str">
        <f>"9783030907686"</f>
        <v>9783030907686</v>
      </c>
      <c r="D3275" t="str">
        <f>"9783030907693"</f>
        <v>9783030907693</v>
      </c>
      <c r="E3275" t="s">
        <v>756</v>
      </c>
      <c r="F3275" s="1">
        <v>44608</v>
      </c>
    </row>
    <row r="3276" spans="1:6" x14ac:dyDescent="0.25">
      <c r="A3276">
        <v>6889685</v>
      </c>
      <c r="B3276" t="s">
        <v>3321</v>
      </c>
      <c r="C3276" t="str">
        <f>"9789027210166"</f>
        <v>9789027210166</v>
      </c>
      <c r="D3276" t="str">
        <f>"9789027258267"</f>
        <v>9789027258267</v>
      </c>
      <c r="E3276" t="s">
        <v>413</v>
      </c>
      <c r="F3276" s="1">
        <v>44630</v>
      </c>
    </row>
    <row r="3277" spans="1:6" x14ac:dyDescent="0.25">
      <c r="A3277">
        <v>6891944</v>
      </c>
      <c r="B3277" t="s">
        <v>3322</v>
      </c>
      <c r="C3277" t="str">
        <f>"9783030793524"</f>
        <v>9783030793524</v>
      </c>
      <c r="D3277" t="str">
        <f>"9783030793531"</f>
        <v>9783030793531</v>
      </c>
      <c r="E3277" t="s">
        <v>756</v>
      </c>
      <c r="F3277" s="1">
        <v>44646</v>
      </c>
    </row>
    <row r="3278" spans="1:6" x14ac:dyDescent="0.25">
      <c r="A3278">
        <v>6891949</v>
      </c>
      <c r="B3278" t="s">
        <v>3323</v>
      </c>
      <c r="C3278" t="str">
        <f>"9789811686023"</f>
        <v>9789811686023</v>
      </c>
      <c r="D3278" t="str">
        <f>"9789811686030"</f>
        <v>9789811686030</v>
      </c>
      <c r="E3278" t="s">
        <v>1177</v>
      </c>
      <c r="F3278" s="1">
        <v>44646</v>
      </c>
    </row>
    <row r="3279" spans="1:6" x14ac:dyDescent="0.25">
      <c r="A3279">
        <v>6892138</v>
      </c>
      <c r="B3279" t="s">
        <v>3324</v>
      </c>
      <c r="C3279" t="str">
        <f>"9781478015499"</f>
        <v>9781478015499</v>
      </c>
      <c r="D3279" t="str">
        <f>"9781478092605"</f>
        <v>9781478092605</v>
      </c>
      <c r="E3279" t="s">
        <v>174</v>
      </c>
      <c r="F3279" s="1">
        <v>44652</v>
      </c>
    </row>
    <row r="3280" spans="1:6" x14ac:dyDescent="0.25">
      <c r="A3280">
        <v>6892156</v>
      </c>
      <c r="B3280" t="s">
        <v>3325</v>
      </c>
      <c r="C3280" t="str">
        <f>"9783658364793"</f>
        <v>9783658364793</v>
      </c>
      <c r="D3280" t="str">
        <f>"9783658364809"</f>
        <v>9783658364809</v>
      </c>
      <c r="E3280" t="s">
        <v>1391</v>
      </c>
      <c r="F3280" s="1">
        <v>44684</v>
      </c>
    </row>
    <row r="3281" spans="1:6" x14ac:dyDescent="0.25">
      <c r="A3281">
        <v>6892166</v>
      </c>
      <c r="B3281" t="s">
        <v>3326</v>
      </c>
      <c r="C3281" t="str">
        <f>""</f>
        <v/>
      </c>
      <c r="D3281" t="str">
        <f>"9789179292508"</f>
        <v>9789179292508</v>
      </c>
      <c r="E3281" t="s">
        <v>1268</v>
      </c>
      <c r="F3281" s="1">
        <v>44609</v>
      </c>
    </row>
    <row r="3282" spans="1:6" x14ac:dyDescent="0.25">
      <c r="A3282">
        <v>6892216</v>
      </c>
      <c r="B3282" t="s">
        <v>3327</v>
      </c>
      <c r="C3282" t="str">
        <f>"9789811690235"</f>
        <v>9789811690235</v>
      </c>
      <c r="D3282" t="str">
        <f>"9789811690242"</f>
        <v>9789811690242</v>
      </c>
      <c r="E3282" t="s">
        <v>1177</v>
      </c>
      <c r="F3282" s="1">
        <v>44611</v>
      </c>
    </row>
    <row r="3283" spans="1:6" x14ac:dyDescent="0.25">
      <c r="A3283">
        <v>6892674</v>
      </c>
      <c r="B3283" t="s">
        <v>3328</v>
      </c>
      <c r="C3283" t="str">
        <f>"9783030934286"</f>
        <v>9783030934286</v>
      </c>
      <c r="D3283" t="str">
        <f>"9783030934293"</f>
        <v>9783030934293</v>
      </c>
      <c r="E3283" t="s">
        <v>756</v>
      </c>
      <c r="F3283" s="1">
        <v>44613</v>
      </c>
    </row>
    <row r="3284" spans="1:6" x14ac:dyDescent="0.25">
      <c r="A3284">
        <v>6892777</v>
      </c>
      <c r="B3284" t="s">
        <v>3329</v>
      </c>
      <c r="C3284" t="str">
        <f>"9781646421695"</f>
        <v>9781646421695</v>
      </c>
      <c r="D3284" t="str">
        <f>"9781646421701"</f>
        <v>9781646421701</v>
      </c>
      <c r="E3284" t="s">
        <v>422</v>
      </c>
      <c r="F3284" s="1">
        <v>44319</v>
      </c>
    </row>
    <row r="3285" spans="1:6" x14ac:dyDescent="0.25">
      <c r="A3285">
        <v>6892778</v>
      </c>
      <c r="B3285" t="s">
        <v>3330</v>
      </c>
      <c r="C3285" t="str">
        <f>"9781607328131"</f>
        <v>9781607328131</v>
      </c>
      <c r="D3285" t="str">
        <f>"9781646420025"</f>
        <v>9781646420025</v>
      </c>
      <c r="E3285" t="s">
        <v>422</v>
      </c>
      <c r="F3285" s="1">
        <v>43882</v>
      </c>
    </row>
    <row r="3286" spans="1:6" x14ac:dyDescent="0.25">
      <c r="A3286">
        <v>6892789</v>
      </c>
      <c r="B3286" t="s">
        <v>3331</v>
      </c>
      <c r="C3286" t="str">
        <f>"9781646421312"</f>
        <v>9781646421312</v>
      </c>
      <c r="D3286" t="str">
        <f>"9781646421329"</f>
        <v>9781646421329</v>
      </c>
      <c r="E3286" t="s">
        <v>422</v>
      </c>
      <c r="F3286" s="1">
        <v>44348</v>
      </c>
    </row>
    <row r="3287" spans="1:6" x14ac:dyDescent="0.25">
      <c r="A3287">
        <v>6893332</v>
      </c>
      <c r="B3287" t="s">
        <v>3332</v>
      </c>
      <c r="C3287" t="str">
        <f>"9783030670238"</f>
        <v>9783030670238</v>
      </c>
      <c r="D3287" t="str">
        <f>"9783030670245"</f>
        <v>9783030670245</v>
      </c>
      <c r="E3287" t="s">
        <v>756</v>
      </c>
      <c r="F3287" s="1">
        <v>44616</v>
      </c>
    </row>
    <row r="3288" spans="1:6" x14ac:dyDescent="0.25">
      <c r="A3288">
        <v>6893818</v>
      </c>
      <c r="B3288" t="s">
        <v>3333</v>
      </c>
      <c r="C3288" t="str">
        <f>""</f>
        <v/>
      </c>
      <c r="D3288" t="str">
        <f>"9783422981010"</f>
        <v>9783422981010</v>
      </c>
      <c r="E3288" t="s">
        <v>2404</v>
      </c>
      <c r="F3288" s="1">
        <v>43654</v>
      </c>
    </row>
    <row r="3289" spans="1:6" x14ac:dyDescent="0.25">
      <c r="A3289">
        <v>6894509</v>
      </c>
      <c r="B3289" t="s">
        <v>3334</v>
      </c>
      <c r="C3289" t="str">
        <f>"9783030696900"</f>
        <v>9783030696900</v>
      </c>
      <c r="D3289" t="str">
        <f>"9783030696917"</f>
        <v>9783030696917</v>
      </c>
      <c r="E3289" t="s">
        <v>756</v>
      </c>
      <c r="F3289" s="1">
        <v>44650</v>
      </c>
    </row>
    <row r="3290" spans="1:6" x14ac:dyDescent="0.25">
      <c r="A3290">
        <v>6894681</v>
      </c>
      <c r="B3290" t="s">
        <v>3335</v>
      </c>
      <c r="C3290" t="str">
        <f>"9780520379756"</f>
        <v>9780520379756</v>
      </c>
      <c r="D3290" t="str">
        <f>"9780520976900"</f>
        <v>9780520976900</v>
      </c>
      <c r="E3290" t="s">
        <v>3336</v>
      </c>
      <c r="F3290" s="1">
        <v>44355</v>
      </c>
    </row>
    <row r="3291" spans="1:6" x14ac:dyDescent="0.25">
      <c r="A3291">
        <v>6894690</v>
      </c>
      <c r="B3291" t="s">
        <v>3337</v>
      </c>
      <c r="C3291" t="str">
        <f>"9780520380530"</f>
        <v>9780520380530</v>
      </c>
      <c r="D3291" t="str">
        <f>"9780520380547"</f>
        <v>9780520380547</v>
      </c>
      <c r="E3291" t="s">
        <v>3336</v>
      </c>
      <c r="F3291" s="1">
        <v>44341</v>
      </c>
    </row>
    <row r="3292" spans="1:6" x14ac:dyDescent="0.25">
      <c r="A3292">
        <v>6894710</v>
      </c>
      <c r="B3292" t="s">
        <v>3338</v>
      </c>
      <c r="C3292" t="str">
        <f>"9780520382541"</f>
        <v>9780520382541</v>
      </c>
      <c r="D3292" t="str">
        <f>"9780520382558"</f>
        <v>9780520382558</v>
      </c>
      <c r="E3292" t="s">
        <v>3336</v>
      </c>
      <c r="F3292" s="1">
        <v>44369</v>
      </c>
    </row>
    <row r="3293" spans="1:6" x14ac:dyDescent="0.25">
      <c r="A3293">
        <v>6894846</v>
      </c>
      <c r="B3293" t="s">
        <v>3339</v>
      </c>
      <c r="C3293" t="str">
        <f>"9780520380592"</f>
        <v>9780520380592</v>
      </c>
      <c r="D3293" t="str">
        <f>"9780520380608"</f>
        <v>9780520380608</v>
      </c>
      <c r="E3293" t="s">
        <v>3336</v>
      </c>
      <c r="F3293" s="1">
        <v>44425</v>
      </c>
    </row>
    <row r="3294" spans="1:6" x14ac:dyDescent="0.25">
      <c r="A3294">
        <v>6894889</v>
      </c>
      <c r="B3294" t="s">
        <v>3340</v>
      </c>
      <c r="C3294" t="str">
        <f>"9780520377066"</f>
        <v>9780520377066</v>
      </c>
      <c r="D3294" t="str">
        <f>"9780520976399"</f>
        <v>9780520976399</v>
      </c>
      <c r="E3294" t="s">
        <v>3336</v>
      </c>
      <c r="F3294" s="1">
        <v>44362</v>
      </c>
    </row>
    <row r="3295" spans="1:6" x14ac:dyDescent="0.25">
      <c r="A3295">
        <v>6895000</v>
      </c>
      <c r="B3295" t="s">
        <v>3341</v>
      </c>
      <c r="C3295" t="str">
        <f>"9780520381971"</f>
        <v>9780520381971</v>
      </c>
      <c r="D3295" t="str">
        <f>"9780520381995"</f>
        <v>9780520381995</v>
      </c>
      <c r="E3295" t="s">
        <v>3336</v>
      </c>
      <c r="F3295" s="1">
        <v>44404</v>
      </c>
    </row>
    <row r="3296" spans="1:6" x14ac:dyDescent="0.25">
      <c r="A3296">
        <v>6895014</v>
      </c>
      <c r="B3296" t="s">
        <v>3342</v>
      </c>
      <c r="C3296" t="str">
        <f>"9780520380189"</f>
        <v>9780520380189</v>
      </c>
      <c r="D3296" t="str">
        <f>"9780520380196"</f>
        <v>9780520380196</v>
      </c>
      <c r="E3296" t="s">
        <v>3336</v>
      </c>
      <c r="F3296" s="1">
        <v>44285</v>
      </c>
    </row>
    <row r="3297" spans="1:6" x14ac:dyDescent="0.25">
      <c r="A3297">
        <v>6896336</v>
      </c>
      <c r="B3297" t="s">
        <v>3343</v>
      </c>
      <c r="C3297" t="str">
        <f>""</f>
        <v/>
      </c>
      <c r="D3297" t="str">
        <f>"9782759235360"</f>
        <v>9782759235360</v>
      </c>
      <c r="E3297" t="s">
        <v>626</v>
      </c>
      <c r="F3297" s="1">
        <v>44617</v>
      </c>
    </row>
    <row r="3298" spans="1:6" x14ac:dyDescent="0.25">
      <c r="A3298">
        <v>6896492</v>
      </c>
      <c r="B3298" t="s">
        <v>3344</v>
      </c>
      <c r="C3298" t="str">
        <f>"9780472133161"</f>
        <v>9780472133161</v>
      </c>
      <c r="D3298" t="str">
        <f>"9780472902606"</f>
        <v>9780472902606</v>
      </c>
      <c r="E3298" t="s">
        <v>689</v>
      </c>
      <c r="F3298" s="1">
        <v>44620</v>
      </c>
    </row>
    <row r="3299" spans="1:6" x14ac:dyDescent="0.25">
      <c r="A3299">
        <v>6896821</v>
      </c>
      <c r="B3299" t="s">
        <v>3345</v>
      </c>
      <c r="C3299" t="str">
        <f>""</f>
        <v/>
      </c>
      <c r="D3299" t="str">
        <f>"9789179291761"</f>
        <v>9789179291761</v>
      </c>
      <c r="E3299" t="s">
        <v>1268</v>
      </c>
      <c r="F3299" s="1">
        <v>44611</v>
      </c>
    </row>
    <row r="3300" spans="1:6" x14ac:dyDescent="0.25">
      <c r="A3300">
        <v>6897051</v>
      </c>
      <c r="B3300" t="s">
        <v>3346</v>
      </c>
      <c r="C3300" t="str">
        <f>"9783030910167"</f>
        <v>9783030910167</v>
      </c>
      <c r="D3300" t="str">
        <f>"9783030910174"</f>
        <v>9783030910174</v>
      </c>
      <c r="E3300" t="s">
        <v>756</v>
      </c>
      <c r="F3300" s="1">
        <v>44659</v>
      </c>
    </row>
    <row r="3301" spans="1:6" x14ac:dyDescent="0.25">
      <c r="A3301">
        <v>6897088</v>
      </c>
      <c r="B3301" t="s">
        <v>3347</v>
      </c>
      <c r="C3301" t="str">
        <f>"9783030951351"</f>
        <v>9783030951351</v>
      </c>
      <c r="D3301" t="str">
        <f>"9783030951368"</f>
        <v>9783030951368</v>
      </c>
      <c r="E3301" t="s">
        <v>756</v>
      </c>
      <c r="F3301" s="1">
        <v>44663</v>
      </c>
    </row>
    <row r="3302" spans="1:6" x14ac:dyDescent="0.25">
      <c r="A3302">
        <v>6897094</v>
      </c>
      <c r="B3302" t="s">
        <v>3348</v>
      </c>
      <c r="C3302" t="str">
        <f>"9789811680274"</f>
        <v>9789811680274</v>
      </c>
      <c r="D3302" t="str">
        <f>"9789811680281"</f>
        <v>9789811680281</v>
      </c>
      <c r="E3302" t="s">
        <v>1177</v>
      </c>
      <c r="F3302" s="1">
        <v>44688</v>
      </c>
    </row>
    <row r="3303" spans="1:6" x14ac:dyDescent="0.25">
      <c r="A3303">
        <v>6897842</v>
      </c>
      <c r="B3303" t="s">
        <v>3349</v>
      </c>
      <c r="C3303" t="str">
        <f>"9783030919986"</f>
        <v>9783030919986</v>
      </c>
      <c r="D3303" t="str">
        <f>"9783030919993"</f>
        <v>9783030919993</v>
      </c>
      <c r="E3303" t="s">
        <v>756</v>
      </c>
      <c r="F3303" s="1">
        <v>44656</v>
      </c>
    </row>
    <row r="3304" spans="1:6" x14ac:dyDescent="0.25">
      <c r="A3304">
        <v>6898000</v>
      </c>
      <c r="B3304" t="s">
        <v>3350</v>
      </c>
      <c r="C3304" t="str">
        <f>"9789811678295"</f>
        <v>9789811678295</v>
      </c>
      <c r="D3304" t="str">
        <f>"9789811678301"</f>
        <v>9789811678301</v>
      </c>
      <c r="E3304" t="s">
        <v>1177</v>
      </c>
      <c r="F3304" s="1">
        <v>44674</v>
      </c>
    </row>
    <row r="3305" spans="1:6" x14ac:dyDescent="0.25">
      <c r="A3305">
        <v>6898001</v>
      </c>
      <c r="B3305" t="s">
        <v>3351</v>
      </c>
      <c r="C3305" t="str">
        <f>"9781800642010"</f>
        <v>9781800642010</v>
      </c>
      <c r="D3305" t="str">
        <f>"9781800642027"</f>
        <v>9781800642027</v>
      </c>
      <c r="E3305" t="s">
        <v>580</v>
      </c>
      <c r="F3305" s="1">
        <v>44585</v>
      </c>
    </row>
    <row r="3306" spans="1:6" x14ac:dyDescent="0.25">
      <c r="A3306">
        <v>6898002</v>
      </c>
      <c r="B3306" t="s">
        <v>3352</v>
      </c>
      <c r="C3306" t="str">
        <f>"9781800641891"</f>
        <v>9781800641891</v>
      </c>
      <c r="D3306" t="str">
        <f>"9781800641907"</f>
        <v>9781800641907</v>
      </c>
      <c r="E3306" t="s">
        <v>580</v>
      </c>
      <c r="F3306" s="1">
        <v>44606</v>
      </c>
    </row>
    <row r="3307" spans="1:6" x14ac:dyDescent="0.25">
      <c r="A3307">
        <v>6898003</v>
      </c>
      <c r="B3307" t="s">
        <v>3353</v>
      </c>
      <c r="C3307" t="str">
        <f>"9781800643277"</f>
        <v>9781800643277</v>
      </c>
      <c r="D3307" t="str">
        <f>"9781800643284"</f>
        <v>9781800643284</v>
      </c>
      <c r="E3307" t="s">
        <v>580</v>
      </c>
      <c r="F3307" s="1">
        <v>44564</v>
      </c>
    </row>
    <row r="3308" spans="1:6" x14ac:dyDescent="0.25">
      <c r="A3308">
        <v>6898657</v>
      </c>
      <c r="B3308" t="s">
        <v>3354</v>
      </c>
      <c r="C3308" t="str">
        <f>"9781786940421"</f>
        <v>9781786940421</v>
      </c>
      <c r="D3308" t="str">
        <f>"9781786948243"</f>
        <v>9781786948243</v>
      </c>
      <c r="E3308" t="s">
        <v>1287</v>
      </c>
      <c r="F3308" s="1">
        <v>43252</v>
      </c>
    </row>
    <row r="3309" spans="1:6" x14ac:dyDescent="0.25">
      <c r="A3309">
        <v>6898660</v>
      </c>
      <c r="B3309" t="s">
        <v>3355</v>
      </c>
      <c r="C3309" t="str">
        <f>"9781846319464"</f>
        <v>9781846319464</v>
      </c>
      <c r="D3309" t="str">
        <f>"9781781385678"</f>
        <v>9781781385678</v>
      </c>
      <c r="E3309" t="s">
        <v>1287</v>
      </c>
      <c r="F3309" s="1">
        <v>41575</v>
      </c>
    </row>
    <row r="3310" spans="1:6" x14ac:dyDescent="0.25">
      <c r="A3310">
        <v>6898667</v>
      </c>
      <c r="B3310" t="s">
        <v>3356</v>
      </c>
      <c r="C3310" t="str">
        <f>"9781846318351"</f>
        <v>9781846318351</v>
      </c>
      <c r="D3310" t="str">
        <f>"9781781386590"</f>
        <v>9781781386590</v>
      </c>
      <c r="E3310" t="s">
        <v>1287</v>
      </c>
      <c r="F3310" s="1">
        <v>41258</v>
      </c>
    </row>
    <row r="3311" spans="1:6" x14ac:dyDescent="0.25">
      <c r="A3311">
        <v>6898672</v>
      </c>
      <c r="B3311" t="s">
        <v>3357</v>
      </c>
      <c r="C3311" t="str">
        <f>"9781781381939"</f>
        <v>9781781381939</v>
      </c>
      <c r="D3311" t="str">
        <f>"9781781382035"</f>
        <v>9781781382035</v>
      </c>
      <c r="E3311" t="s">
        <v>1287</v>
      </c>
      <c r="F3311" s="1">
        <v>42206</v>
      </c>
    </row>
    <row r="3312" spans="1:6" x14ac:dyDescent="0.25">
      <c r="A3312">
        <v>6898677</v>
      </c>
      <c r="B3312" t="s">
        <v>3358</v>
      </c>
      <c r="C3312" t="str">
        <f>"9781846318221"</f>
        <v>9781846318221</v>
      </c>
      <c r="D3312" t="str">
        <f>"9781781387962"</f>
        <v>9781781387962</v>
      </c>
      <c r="E3312" t="s">
        <v>1287</v>
      </c>
      <c r="F3312" s="1">
        <v>41012</v>
      </c>
    </row>
    <row r="3313" spans="1:6" x14ac:dyDescent="0.25">
      <c r="A3313">
        <v>6898681</v>
      </c>
      <c r="B3313" t="s">
        <v>3359</v>
      </c>
      <c r="C3313" t="str">
        <f>"9780853238393"</f>
        <v>9780853238393</v>
      </c>
      <c r="D3313" t="str">
        <f>"9781781387733"</f>
        <v>9781781387733</v>
      </c>
      <c r="E3313" t="s">
        <v>1287</v>
      </c>
      <c r="F3313" s="1">
        <v>39022</v>
      </c>
    </row>
    <row r="3314" spans="1:6" x14ac:dyDescent="0.25">
      <c r="A3314">
        <v>6898682</v>
      </c>
      <c r="B3314" t="s">
        <v>3360</v>
      </c>
      <c r="C3314" t="str">
        <f>"9781846314995"</f>
        <v>9781846314995</v>
      </c>
      <c r="D3314" t="str">
        <f>"9781781386705"</f>
        <v>9781781386705</v>
      </c>
      <c r="E3314" t="s">
        <v>1287</v>
      </c>
      <c r="F3314" s="1">
        <v>40520</v>
      </c>
    </row>
    <row r="3315" spans="1:6" x14ac:dyDescent="0.25">
      <c r="A3315">
        <v>6898683</v>
      </c>
      <c r="B3315" t="s">
        <v>3361</v>
      </c>
      <c r="C3315" t="str">
        <f>"9781781380307"</f>
        <v>9781781380307</v>
      </c>
      <c r="D3315" t="str">
        <f>"9781781385968"</f>
        <v>9781781385968</v>
      </c>
      <c r="E3315" t="s">
        <v>1287</v>
      </c>
      <c r="F3315" s="1">
        <v>41808</v>
      </c>
    </row>
    <row r="3316" spans="1:6" x14ac:dyDescent="0.25">
      <c r="A3316">
        <v>6898684</v>
      </c>
      <c r="B3316" t="s">
        <v>3362</v>
      </c>
      <c r="C3316" t="str">
        <f>"9781781383094"</f>
        <v>9781781383094</v>
      </c>
      <c r="D3316" t="str">
        <f>"9781781388624"</f>
        <v>9781781388624</v>
      </c>
      <c r="E3316" t="s">
        <v>1287</v>
      </c>
      <c r="F3316" s="1">
        <v>42552</v>
      </c>
    </row>
    <row r="3317" spans="1:6" x14ac:dyDescent="0.25">
      <c r="A3317">
        <v>6898686</v>
      </c>
      <c r="B3317" t="s">
        <v>3363</v>
      </c>
      <c r="C3317" t="str">
        <f>"9781781381717"</f>
        <v>9781781381717</v>
      </c>
      <c r="D3317" t="str">
        <f>"9781781384633"</f>
        <v>9781781384633</v>
      </c>
      <c r="E3317" t="s">
        <v>1287</v>
      </c>
      <c r="F3317" s="1">
        <v>42180</v>
      </c>
    </row>
    <row r="3318" spans="1:6" x14ac:dyDescent="0.25">
      <c r="A3318">
        <v>6898701</v>
      </c>
      <c r="B3318" t="s">
        <v>3364</v>
      </c>
      <c r="C3318" t="str">
        <f>"9781846319761"</f>
        <v>9781846319761</v>
      </c>
      <c r="D3318" t="str">
        <f>"9781781385623"</f>
        <v>9781781385623</v>
      </c>
      <c r="E3318" t="s">
        <v>1287</v>
      </c>
      <c r="F3318" s="1">
        <v>41591</v>
      </c>
    </row>
    <row r="3319" spans="1:6" x14ac:dyDescent="0.25">
      <c r="A3319">
        <v>6898703</v>
      </c>
      <c r="B3319" t="s">
        <v>3365</v>
      </c>
      <c r="C3319" t="str">
        <f>"9781781381878"</f>
        <v>9781781381878</v>
      </c>
      <c r="D3319" t="str">
        <f>"9781781384695"</f>
        <v>9781781384695</v>
      </c>
      <c r="E3319" t="s">
        <v>1287</v>
      </c>
      <c r="F3319" s="1">
        <v>42248</v>
      </c>
    </row>
    <row r="3320" spans="1:6" x14ac:dyDescent="0.25">
      <c r="A3320">
        <v>6898708</v>
      </c>
      <c r="B3320" t="s">
        <v>3366</v>
      </c>
      <c r="C3320" t="str">
        <f>"9781846319730"</f>
        <v>9781846319730</v>
      </c>
      <c r="D3320" t="str">
        <f>"9781781385760"</f>
        <v>9781781385760</v>
      </c>
      <c r="E3320" t="s">
        <v>1287</v>
      </c>
      <c r="F3320" s="1">
        <v>41516</v>
      </c>
    </row>
    <row r="3321" spans="1:6" x14ac:dyDescent="0.25">
      <c r="A3321">
        <v>6898710</v>
      </c>
      <c r="B3321" t="s">
        <v>3367</v>
      </c>
      <c r="C3321" t="str">
        <f>"9781846318290"</f>
        <v>9781846318290</v>
      </c>
      <c r="D3321" t="str">
        <f>"9781781386361"</f>
        <v>9781781386361</v>
      </c>
      <c r="E3321" t="s">
        <v>1287</v>
      </c>
      <c r="F3321" s="1">
        <v>41233</v>
      </c>
    </row>
    <row r="3322" spans="1:6" x14ac:dyDescent="0.25">
      <c r="A3322">
        <v>6898712</v>
      </c>
      <c r="B3322" t="s">
        <v>3368</v>
      </c>
      <c r="C3322" t="str">
        <f>"9781781380253"</f>
        <v>9781781380253</v>
      </c>
      <c r="D3322" t="str">
        <f>"9781781385982"</f>
        <v>9781781385982</v>
      </c>
      <c r="E3322" t="s">
        <v>1287</v>
      </c>
      <c r="F3322" s="1">
        <v>41787</v>
      </c>
    </row>
    <row r="3323" spans="1:6" x14ac:dyDescent="0.25">
      <c r="A3323">
        <v>6898723</v>
      </c>
      <c r="B3323" t="s">
        <v>3369</v>
      </c>
      <c r="C3323" t="str">
        <f>"9781786941343"</f>
        <v>9781786941343</v>
      </c>
      <c r="D3323" t="str">
        <f>"9781786949363"</f>
        <v>9781786949363</v>
      </c>
      <c r="E3323" t="s">
        <v>1287</v>
      </c>
      <c r="F3323" s="1">
        <v>43427</v>
      </c>
    </row>
    <row r="3324" spans="1:6" x14ac:dyDescent="0.25">
      <c r="A3324">
        <v>6898724</v>
      </c>
      <c r="B3324" t="s">
        <v>3370</v>
      </c>
      <c r="C3324" t="str">
        <f>"9781846317538"</f>
        <v>9781846317538</v>
      </c>
      <c r="D3324" t="str">
        <f>"9781781386095"</f>
        <v>9781781386095</v>
      </c>
      <c r="E3324" t="s">
        <v>1287</v>
      </c>
      <c r="F3324" s="1">
        <v>41054</v>
      </c>
    </row>
    <row r="3325" spans="1:6" x14ac:dyDescent="0.25">
      <c r="A3325">
        <v>6898726</v>
      </c>
      <c r="B3325" t="s">
        <v>3371</v>
      </c>
      <c r="C3325" t="str">
        <f>"9781846318702"</f>
        <v>9781846318702</v>
      </c>
      <c r="D3325" t="str">
        <f>"9781781386415"</f>
        <v>9781781386415</v>
      </c>
      <c r="E3325" t="s">
        <v>1287</v>
      </c>
      <c r="F3325" s="1">
        <v>41352</v>
      </c>
    </row>
    <row r="3326" spans="1:6" x14ac:dyDescent="0.25">
      <c r="A3326">
        <v>6898727</v>
      </c>
      <c r="B3326" t="s">
        <v>3372</v>
      </c>
      <c r="C3326" t="str">
        <f>"9781846318610"</f>
        <v>9781846318610</v>
      </c>
      <c r="D3326" t="str">
        <f>"9781781387665"</f>
        <v>9781781387665</v>
      </c>
      <c r="E3326" t="s">
        <v>1287</v>
      </c>
      <c r="F3326" s="1">
        <v>41352</v>
      </c>
    </row>
    <row r="3327" spans="1:6" x14ac:dyDescent="0.25">
      <c r="A3327">
        <v>6898728</v>
      </c>
      <c r="B3327" t="s">
        <v>3373</v>
      </c>
      <c r="C3327" t="str">
        <f>"9781800856202"</f>
        <v>9781800856202</v>
      </c>
      <c r="D3327" t="str">
        <f>"9781800855472"</f>
        <v>9781800855472</v>
      </c>
      <c r="E3327" t="s">
        <v>1287</v>
      </c>
      <c r="F3327" s="1">
        <v>44596</v>
      </c>
    </row>
    <row r="3328" spans="1:6" x14ac:dyDescent="0.25">
      <c r="A3328">
        <v>6898733</v>
      </c>
      <c r="B3328" t="s">
        <v>3374</v>
      </c>
      <c r="C3328" t="str">
        <f>"9781781383186"</f>
        <v>9781781383186</v>
      </c>
      <c r="D3328" t="str">
        <f>"9781781383537"</f>
        <v>9781781383537</v>
      </c>
      <c r="E3328" t="s">
        <v>1287</v>
      </c>
      <c r="F3328" s="1">
        <v>42736</v>
      </c>
    </row>
    <row r="3329" spans="1:6" x14ac:dyDescent="0.25">
      <c r="A3329">
        <v>6898737</v>
      </c>
      <c r="B3329" t="s">
        <v>3375</v>
      </c>
      <c r="C3329" t="str">
        <f>"9781846318436"</f>
        <v>9781846318436</v>
      </c>
      <c r="D3329" t="str">
        <f>"9781781388273"</f>
        <v>9781781388273</v>
      </c>
      <c r="E3329" t="s">
        <v>1287</v>
      </c>
      <c r="F3329" s="1">
        <v>41250</v>
      </c>
    </row>
    <row r="3330" spans="1:6" x14ac:dyDescent="0.25">
      <c r="A3330">
        <v>6898738</v>
      </c>
      <c r="B3330" t="s">
        <v>3376</v>
      </c>
      <c r="C3330" t="str">
        <f>"9781786941565"</f>
        <v>9781786941565</v>
      </c>
      <c r="D3330" t="str">
        <f>"9781786949523"</f>
        <v>9781786949523</v>
      </c>
      <c r="E3330" t="s">
        <v>1287</v>
      </c>
      <c r="F3330" s="1">
        <v>43466</v>
      </c>
    </row>
    <row r="3331" spans="1:6" x14ac:dyDescent="0.25">
      <c r="A3331">
        <v>6898741</v>
      </c>
      <c r="B3331" t="s">
        <v>3377</v>
      </c>
      <c r="C3331" t="str">
        <f>"9781781382684"</f>
        <v>9781781382684</v>
      </c>
      <c r="D3331" t="str">
        <f>"9781781384312"</f>
        <v>9781781384312</v>
      </c>
      <c r="E3331" t="s">
        <v>1287</v>
      </c>
      <c r="F3331" s="1">
        <v>42583</v>
      </c>
    </row>
    <row r="3332" spans="1:6" x14ac:dyDescent="0.25">
      <c r="A3332">
        <v>6898750</v>
      </c>
      <c r="B3332" t="s">
        <v>3378</v>
      </c>
      <c r="C3332" t="str">
        <f>"9781846319587"</f>
        <v>9781846319587</v>
      </c>
      <c r="D3332" t="str">
        <f>"9781781385524"</f>
        <v>9781781385524</v>
      </c>
      <c r="E3332" t="s">
        <v>1287</v>
      </c>
      <c r="F3332" s="1">
        <v>41584</v>
      </c>
    </row>
    <row r="3333" spans="1:6" x14ac:dyDescent="0.25">
      <c r="A3333">
        <v>6898763</v>
      </c>
      <c r="B3333" t="s">
        <v>3379</v>
      </c>
      <c r="C3333" t="str">
        <f>"9781786941497"</f>
        <v>9781786941497</v>
      </c>
      <c r="D3333" t="str">
        <f>"9781786949493"</f>
        <v>9781786949493</v>
      </c>
      <c r="E3333" t="s">
        <v>1287</v>
      </c>
      <c r="F3333" s="1">
        <v>43497</v>
      </c>
    </row>
    <row r="3334" spans="1:6" x14ac:dyDescent="0.25">
      <c r="A3334">
        <v>6898765</v>
      </c>
      <c r="B3334" t="s">
        <v>3380</v>
      </c>
      <c r="C3334" t="str">
        <f>"9781781382868"</f>
        <v>9781781382868</v>
      </c>
      <c r="D3334" t="str">
        <f>"9781781384558"</f>
        <v>9781781384558</v>
      </c>
      <c r="E3334" t="s">
        <v>1287</v>
      </c>
      <c r="F3334" s="1">
        <v>42482</v>
      </c>
    </row>
    <row r="3335" spans="1:6" x14ac:dyDescent="0.25">
      <c r="A3335">
        <v>6898768</v>
      </c>
      <c r="B3335" t="s">
        <v>3381</v>
      </c>
      <c r="C3335" t="str">
        <f>"9781789620757"</f>
        <v>9781789620757</v>
      </c>
      <c r="D3335" t="str">
        <f>"9781789624953"</f>
        <v>9781789624953</v>
      </c>
      <c r="E3335" t="s">
        <v>1287</v>
      </c>
      <c r="F3335" s="1">
        <v>43799</v>
      </c>
    </row>
    <row r="3336" spans="1:6" x14ac:dyDescent="0.25">
      <c r="A3336">
        <v>6898772</v>
      </c>
      <c r="B3336" t="s">
        <v>3382</v>
      </c>
      <c r="C3336" t="str">
        <f>"9781846314704"</f>
        <v>9781846314704</v>
      </c>
      <c r="D3336" t="str">
        <f>"9781789624205"</f>
        <v>9781789624205</v>
      </c>
      <c r="E3336" t="s">
        <v>1287</v>
      </c>
      <c r="F3336" s="1">
        <v>40373</v>
      </c>
    </row>
    <row r="3337" spans="1:6" x14ac:dyDescent="0.25">
      <c r="A3337">
        <v>6898773</v>
      </c>
      <c r="B3337" t="s">
        <v>3383</v>
      </c>
      <c r="C3337" t="str">
        <f>"9781846319433"</f>
        <v>9781846319433</v>
      </c>
      <c r="D3337" t="str">
        <f>"9781781385739"</f>
        <v>9781781385739</v>
      </c>
      <c r="E3337" t="s">
        <v>1287</v>
      </c>
      <c r="F3337" s="1">
        <v>41561</v>
      </c>
    </row>
    <row r="3338" spans="1:6" x14ac:dyDescent="0.25">
      <c r="A3338">
        <v>6898775</v>
      </c>
      <c r="B3338" t="s">
        <v>3384</v>
      </c>
      <c r="C3338" t="str">
        <f>"9781800348455"</f>
        <v>9781800348455</v>
      </c>
      <c r="D3338" t="str">
        <f>"9781800345515"</f>
        <v>9781800345515</v>
      </c>
      <c r="E3338" t="s">
        <v>1287</v>
      </c>
      <c r="F3338" s="1">
        <v>44593</v>
      </c>
    </row>
    <row r="3339" spans="1:6" x14ac:dyDescent="0.25">
      <c r="A3339">
        <v>6898776</v>
      </c>
      <c r="B3339" t="s">
        <v>3385</v>
      </c>
      <c r="C3339" t="str">
        <f>"9781846319716"</f>
        <v>9781846319716</v>
      </c>
      <c r="D3339" t="str">
        <f>"9781781385555"</f>
        <v>9781781385555</v>
      </c>
      <c r="E3339" t="s">
        <v>1287</v>
      </c>
      <c r="F3339" s="1">
        <v>41537</v>
      </c>
    </row>
    <row r="3340" spans="1:6" x14ac:dyDescent="0.25">
      <c r="A3340">
        <v>6898800</v>
      </c>
      <c r="B3340" t="s">
        <v>3386</v>
      </c>
      <c r="C3340" t="str">
        <f>"9789811677106"</f>
        <v>9789811677106</v>
      </c>
      <c r="D3340" t="str">
        <f>"9789811677113"</f>
        <v>9789811677113</v>
      </c>
      <c r="E3340" t="s">
        <v>1177</v>
      </c>
      <c r="F3340" s="1">
        <v>44662</v>
      </c>
    </row>
    <row r="3341" spans="1:6" x14ac:dyDescent="0.25">
      <c r="A3341">
        <v>6898801</v>
      </c>
      <c r="B3341" t="s">
        <v>3387</v>
      </c>
      <c r="C3341" t="str">
        <f>"9783030866440"</f>
        <v>9783030866440</v>
      </c>
      <c r="D3341" t="str">
        <f>"9783030866457"</f>
        <v>9783030866457</v>
      </c>
      <c r="E3341" t="s">
        <v>756</v>
      </c>
      <c r="F3341" s="1">
        <v>44621</v>
      </c>
    </row>
    <row r="3342" spans="1:6" x14ac:dyDescent="0.25">
      <c r="A3342">
        <v>6898804</v>
      </c>
      <c r="B3342" t="s">
        <v>3388</v>
      </c>
      <c r="C3342" t="str">
        <f>"9783030831271"</f>
        <v>9783030831271</v>
      </c>
      <c r="D3342" t="str">
        <f>"9783030831288"</f>
        <v>9783030831288</v>
      </c>
      <c r="E3342" t="s">
        <v>756</v>
      </c>
      <c r="F3342" s="1">
        <v>44658</v>
      </c>
    </row>
    <row r="3343" spans="1:6" x14ac:dyDescent="0.25">
      <c r="A3343">
        <v>6898809</v>
      </c>
      <c r="B3343" t="s">
        <v>3389</v>
      </c>
      <c r="C3343" t="str">
        <f>"9783658361662"</f>
        <v>9783658361662</v>
      </c>
      <c r="D3343" t="str">
        <f>"9783658361679"</f>
        <v>9783658361679</v>
      </c>
      <c r="E3343" t="s">
        <v>1391</v>
      </c>
      <c r="F3343" s="1">
        <v>44621</v>
      </c>
    </row>
    <row r="3344" spans="1:6" x14ac:dyDescent="0.25">
      <c r="A3344">
        <v>6898821</v>
      </c>
      <c r="B3344" t="s">
        <v>3390</v>
      </c>
      <c r="C3344" t="str">
        <f>"9789811697470"</f>
        <v>9789811697470</v>
      </c>
      <c r="D3344" t="str">
        <f>"9789811697487"</f>
        <v>9789811697487</v>
      </c>
      <c r="E3344" t="s">
        <v>1177</v>
      </c>
      <c r="F3344" s="1">
        <v>44658</v>
      </c>
    </row>
    <row r="3345" spans="1:6" x14ac:dyDescent="0.25">
      <c r="A3345">
        <v>6898826</v>
      </c>
      <c r="B3345" t="s">
        <v>3391</v>
      </c>
      <c r="C3345" t="str">
        <f>"9783658367145"</f>
        <v>9783658367145</v>
      </c>
      <c r="D3345" t="str">
        <f>"9783658367152"</f>
        <v>9783658367152</v>
      </c>
      <c r="E3345" t="s">
        <v>1391</v>
      </c>
      <c r="F3345" s="1">
        <v>44656</v>
      </c>
    </row>
    <row r="3346" spans="1:6" x14ac:dyDescent="0.25">
      <c r="A3346">
        <v>6898851</v>
      </c>
      <c r="B3346" t="s">
        <v>3392</v>
      </c>
      <c r="C3346" t="str">
        <f>"9783030708245"</f>
        <v>9783030708245</v>
      </c>
      <c r="D3346" t="str">
        <f>"9783030708252"</f>
        <v>9783030708252</v>
      </c>
      <c r="E3346" t="s">
        <v>756</v>
      </c>
      <c r="F3346" s="1">
        <v>44621</v>
      </c>
    </row>
    <row r="3347" spans="1:6" x14ac:dyDescent="0.25">
      <c r="A3347">
        <v>6899791</v>
      </c>
      <c r="B3347" t="s">
        <v>3393</v>
      </c>
      <c r="C3347" t="str">
        <f>"9783658367183"</f>
        <v>9783658367183</v>
      </c>
      <c r="D3347" t="str">
        <f>"9783658367190"</f>
        <v>9783658367190</v>
      </c>
      <c r="E3347" t="s">
        <v>1391</v>
      </c>
      <c r="F3347" s="1">
        <v>44658</v>
      </c>
    </row>
    <row r="3348" spans="1:6" x14ac:dyDescent="0.25">
      <c r="A3348">
        <v>6904261</v>
      </c>
      <c r="B3348" t="s">
        <v>3394</v>
      </c>
      <c r="C3348" t="str">
        <f>"9783030932534"</f>
        <v>9783030932534</v>
      </c>
      <c r="D3348" t="str">
        <f>"9783030932541"</f>
        <v>9783030932541</v>
      </c>
      <c r="E3348" t="s">
        <v>756</v>
      </c>
      <c r="F3348" s="1">
        <v>44654</v>
      </c>
    </row>
    <row r="3349" spans="1:6" x14ac:dyDescent="0.25">
      <c r="A3349">
        <v>6912963</v>
      </c>
      <c r="B3349" t="s">
        <v>3395</v>
      </c>
      <c r="C3349" t="str">
        <f>"9783030945794"</f>
        <v>9783030945794</v>
      </c>
      <c r="D3349" t="str">
        <f>"9783030945800"</f>
        <v>9783030945800</v>
      </c>
      <c r="E3349" t="s">
        <v>756</v>
      </c>
      <c r="F3349" s="1">
        <v>44659</v>
      </c>
    </row>
    <row r="3350" spans="1:6" x14ac:dyDescent="0.25">
      <c r="A3350">
        <v>6912980</v>
      </c>
      <c r="B3350" t="s">
        <v>3396</v>
      </c>
      <c r="C3350" t="str">
        <f>"9783030832544"</f>
        <v>9783030832544</v>
      </c>
      <c r="D3350" t="str">
        <f>"9783030832551"</f>
        <v>9783030832551</v>
      </c>
      <c r="E3350" t="s">
        <v>756</v>
      </c>
      <c r="F3350" s="1">
        <v>44660</v>
      </c>
    </row>
    <row r="3351" spans="1:6" x14ac:dyDescent="0.25">
      <c r="A3351">
        <v>6913509</v>
      </c>
      <c r="B3351" t="s">
        <v>3397</v>
      </c>
      <c r="C3351" t="str">
        <f>""</f>
        <v/>
      </c>
      <c r="D3351" t="str">
        <f>"9788021059368"</f>
        <v>9788021059368</v>
      </c>
      <c r="E3351" t="s">
        <v>3398</v>
      </c>
      <c r="F3351" s="1">
        <v>44013</v>
      </c>
    </row>
    <row r="3352" spans="1:6" x14ac:dyDescent="0.25">
      <c r="A3352">
        <v>6913510</v>
      </c>
      <c r="B3352" t="s">
        <v>3399</v>
      </c>
      <c r="C3352" t="str">
        <f>""</f>
        <v/>
      </c>
      <c r="D3352" t="str">
        <f>"9788021063136"</f>
        <v>9788021063136</v>
      </c>
      <c r="E3352" t="s">
        <v>3398</v>
      </c>
      <c r="F3352" s="1">
        <v>44378</v>
      </c>
    </row>
    <row r="3353" spans="1:6" x14ac:dyDescent="0.25">
      <c r="A3353">
        <v>6913511</v>
      </c>
      <c r="B3353" t="s">
        <v>3400</v>
      </c>
      <c r="C3353" t="str">
        <f>""</f>
        <v/>
      </c>
      <c r="D3353" t="str">
        <f>"9788021066434"</f>
        <v>9788021066434</v>
      </c>
      <c r="E3353" t="s">
        <v>3398</v>
      </c>
      <c r="F3353" s="1">
        <v>44013</v>
      </c>
    </row>
    <row r="3354" spans="1:6" x14ac:dyDescent="0.25">
      <c r="A3354">
        <v>6913512</v>
      </c>
      <c r="B3354" t="s">
        <v>3401</v>
      </c>
      <c r="C3354" t="str">
        <f>""</f>
        <v/>
      </c>
      <c r="D3354" t="str">
        <f>"9788021079823"</f>
        <v>9788021079823</v>
      </c>
      <c r="E3354" t="s">
        <v>3398</v>
      </c>
      <c r="F3354" s="1">
        <v>44378</v>
      </c>
    </row>
    <row r="3355" spans="1:6" x14ac:dyDescent="0.25">
      <c r="A3355">
        <v>6913513</v>
      </c>
      <c r="B3355" t="s">
        <v>3402</v>
      </c>
      <c r="C3355" t="str">
        <f>""</f>
        <v/>
      </c>
      <c r="D3355" t="str">
        <f>"9788021080942"</f>
        <v>9788021080942</v>
      </c>
      <c r="E3355" t="s">
        <v>3398</v>
      </c>
      <c r="F3355" s="1">
        <v>42186</v>
      </c>
    </row>
    <row r="3356" spans="1:6" x14ac:dyDescent="0.25">
      <c r="A3356">
        <v>6913514</v>
      </c>
      <c r="B3356" t="s">
        <v>3403</v>
      </c>
      <c r="C3356" t="str">
        <f>""</f>
        <v/>
      </c>
      <c r="D3356" t="str">
        <f>"9788021082854"</f>
        <v>9788021082854</v>
      </c>
      <c r="E3356" t="s">
        <v>3398</v>
      </c>
      <c r="F3356" s="1">
        <v>42552</v>
      </c>
    </row>
    <row r="3357" spans="1:6" x14ac:dyDescent="0.25">
      <c r="A3357">
        <v>6913515</v>
      </c>
      <c r="B3357" t="s">
        <v>3404</v>
      </c>
      <c r="C3357" t="str">
        <f>""</f>
        <v/>
      </c>
      <c r="D3357" t="str">
        <f>"9788021082861"</f>
        <v>9788021082861</v>
      </c>
      <c r="E3357" t="s">
        <v>3398</v>
      </c>
      <c r="F3357" s="1">
        <v>42552</v>
      </c>
    </row>
    <row r="3358" spans="1:6" x14ac:dyDescent="0.25">
      <c r="A3358">
        <v>6913516</v>
      </c>
      <c r="B3358" t="s">
        <v>3405</v>
      </c>
      <c r="C3358" t="str">
        <f>""</f>
        <v/>
      </c>
      <c r="D3358" t="str">
        <f>"9788021082878"</f>
        <v>9788021082878</v>
      </c>
      <c r="E3358" t="s">
        <v>3398</v>
      </c>
      <c r="F3358" s="1">
        <v>42552</v>
      </c>
    </row>
    <row r="3359" spans="1:6" x14ac:dyDescent="0.25">
      <c r="A3359">
        <v>6913517</v>
      </c>
      <c r="B3359" t="s">
        <v>3406</v>
      </c>
      <c r="C3359" t="str">
        <f>""</f>
        <v/>
      </c>
      <c r="D3359" t="str">
        <f>"9788021084698"</f>
        <v>9788021084698</v>
      </c>
      <c r="E3359" t="s">
        <v>3398</v>
      </c>
      <c r="F3359" s="1">
        <v>44378</v>
      </c>
    </row>
    <row r="3360" spans="1:6" x14ac:dyDescent="0.25">
      <c r="A3360">
        <v>6913518</v>
      </c>
      <c r="B3360" t="s">
        <v>3407</v>
      </c>
      <c r="C3360" t="str">
        <f>"9788021081031"</f>
        <v>9788021081031</v>
      </c>
      <c r="D3360" t="str">
        <f>"9788021085633"</f>
        <v>9788021085633</v>
      </c>
      <c r="E3360" t="s">
        <v>3398</v>
      </c>
      <c r="F3360" s="1">
        <v>42552</v>
      </c>
    </row>
    <row r="3361" spans="1:6" x14ac:dyDescent="0.25">
      <c r="A3361">
        <v>6913519</v>
      </c>
      <c r="B3361" t="s">
        <v>3408</v>
      </c>
      <c r="C3361" t="str">
        <f>"9788021085688"</f>
        <v>9788021085688</v>
      </c>
      <c r="D3361" t="str">
        <f>"9788021085695"</f>
        <v>9788021085695</v>
      </c>
      <c r="E3361" t="s">
        <v>3398</v>
      </c>
      <c r="F3361" s="1">
        <v>42917</v>
      </c>
    </row>
    <row r="3362" spans="1:6" x14ac:dyDescent="0.25">
      <c r="A3362">
        <v>6913520</v>
      </c>
      <c r="B3362" t="s">
        <v>3409</v>
      </c>
      <c r="C3362" t="str">
        <f>"9788021086265"</f>
        <v>9788021086265</v>
      </c>
      <c r="D3362" t="str">
        <f>"9788021086319"</f>
        <v>9788021086319</v>
      </c>
      <c r="E3362" t="s">
        <v>3398</v>
      </c>
      <c r="F3362" s="1">
        <v>44743</v>
      </c>
    </row>
    <row r="3363" spans="1:6" x14ac:dyDescent="0.25">
      <c r="A3363">
        <v>6913521</v>
      </c>
      <c r="B3363" t="s">
        <v>3410</v>
      </c>
      <c r="C3363" t="str">
        <f>"9788021086340"</f>
        <v>9788021086340</v>
      </c>
      <c r="D3363" t="str">
        <f>"9788021086357"</f>
        <v>9788021086357</v>
      </c>
      <c r="E3363" t="s">
        <v>3398</v>
      </c>
      <c r="F3363" s="1">
        <v>44378</v>
      </c>
    </row>
    <row r="3364" spans="1:6" x14ac:dyDescent="0.25">
      <c r="A3364">
        <v>6913522</v>
      </c>
      <c r="B3364" t="s">
        <v>3411</v>
      </c>
      <c r="C3364" t="str">
        <f>"9788021088924"</f>
        <v>9788021088924</v>
      </c>
      <c r="D3364" t="str">
        <f>"9788021088931"</f>
        <v>9788021088931</v>
      </c>
      <c r="E3364" t="s">
        <v>3398</v>
      </c>
      <c r="F3364" s="1">
        <v>42917</v>
      </c>
    </row>
    <row r="3365" spans="1:6" x14ac:dyDescent="0.25">
      <c r="A3365">
        <v>6913523</v>
      </c>
      <c r="B3365" t="s">
        <v>3412</v>
      </c>
      <c r="C3365" t="str">
        <f>""</f>
        <v/>
      </c>
      <c r="D3365" t="str">
        <f>"9788021089174"</f>
        <v>9788021089174</v>
      </c>
      <c r="E3365" t="s">
        <v>3398</v>
      </c>
      <c r="F3365" s="1">
        <v>43282</v>
      </c>
    </row>
    <row r="3366" spans="1:6" x14ac:dyDescent="0.25">
      <c r="A3366">
        <v>6913524</v>
      </c>
      <c r="B3366" t="s">
        <v>3413</v>
      </c>
      <c r="C3366" t="str">
        <f>"9788021089952"</f>
        <v>9788021089952</v>
      </c>
      <c r="D3366" t="str">
        <f>"9788021089969"</f>
        <v>9788021089969</v>
      </c>
      <c r="E3366" t="s">
        <v>3398</v>
      </c>
      <c r="F3366" s="1">
        <v>43282</v>
      </c>
    </row>
    <row r="3367" spans="1:6" x14ac:dyDescent="0.25">
      <c r="A3367">
        <v>6913525</v>
      </c>
      <c r="B3367" t="s">
        <v>3414</v>
      </c>
      <c r="C3367" t="str">
        <f>"9788021091412"</f>
        <v>9788021091412</v>
      </c>
      <c r="D3367" t="str">
        <f>"9788021091429"</f>
        <v>9788021091429</v>
      </c>
      <c r="E3367" t="s">
        <v>3398</v>
      </c>
      <c r="F3367" s="1">
        <v>44378</v>
      </c>
    </row>
    <row r="3368" spans="1:6" x14ac:dyDescent="0.25">
      <c r="A3368">
        <v>6913526</v>
      </c>
      <c r="B3368" t="s">
        <v>3415</v>
      </c>
      <c r="C3368" t="str">
        <f>"9788021092280"</f>
        <v>9788021092280</v>
      </c>
      <c r="D3368" t="str">
        <f>"9788021092297"</f>
        <v>9788021092297</v>
      </c>
      <c r="E3368" t="s">
        <v>3398</v>
      </c>
      <c r="F3368" s="1">
        <v>43647</v>
      </c>
    </row>
    <row r="3369" spans="1:6" x14ac:dyDescent="0.25">
      <c r="A3369">
        <v>6913527</v>
      </c>
      <c r="B3369" t="s">
        <v>3416</v>
      </c>
      <c r="C3369" t="str">
        <f>"9788021092747"</f>
        <v>9788021092747</v>
      </c>
      <c r="D3369" t="str">
        <f>"9788021092754"</f>
        <v>9788021092754</v>
      </c>
      <c r="E3369" t="s">
        <v>3398</v>
      </c>
      <c r="F3369" s="1">
        <v>43282</v>
      </c>
    </row>
    <row r="3370" spans="1:6" x14ac:dyDescent="0.25">
      <c r="A3370">
        <v>6913528</v>
      </c>
      <c r="B3370" t="s">
        <v>3417</v>
      </c>
      <c r="C3370" t="str">
        <f>""</f>
        <v/>
      </c>
      <c r="D3370" t="str">
        <f>"9788021093454"</f>
        <v>9788021093454</v>
      </c>
      <c r="E3370" t="s">
        <v>3398</v>
      </c>
      <c r="F3370" s="1">
        <v>43282</v>
      </c>
    </row>
    <row r="3371" spans="1:6" x14ac:dyDescent="0.25">
      <c r="A3371">
        <v>6913529</v>
      </c>
      <c r="B3371" t="s">
        <v>3418</v>
      </c>
      <c r="C3371" t="str">
        <f>""</f>
        <v/>
      </c>
      <c r="D3371" t="str">
        <f>"9788021093461"</f>
        <v>9788021093461</v>
      </c>
      <c r="E3371" t="s">
        <v>3398</v>
      </c>
      <c r="F3371" s="1">
        <v>43282</v>
      </c>
    </row>
    <row r="3372" spans="1:6" x14ac:dyDescent="0.25">
      <c r="A3372">
        <v>6913530</v>
      </c>
      <c r="B3372" t="s">
        <v>3419</v>
      </c>
      <c r="C3372" t="str">
        <f>"9788021093560"</f>
        <v>9788021093560</v>
      </c>
      <c r="D3372" t="str">
        <f>"9788021093577"</f>
        <v>9788021093577</v>
      </c>
      <c r="E3372" t="s">
        <v>3398</v>
      </c>
      <c r="F3372" s="1">
        <v>43647</v>
      </c>
    </row>
    <row r="3373" spans="1:6" x14ac:dyDescent="0.25">
      <c r="A3373">
        <v>6913531</v>
      </c>
      <c r="B3373" t="s">
        <v>3420</v>
      </c>
      <c r="C3373" t="str">
        <f>""</f>
        <v/>
      </c>
      <c r="D3373" t="str">
        <f>"9788021093652"</f>
        <v>9788021093652</v>
      </c>
      <c r="E3373" t="s">
        <v>3398</v>
      </c>
      <c r="F3373" s="1">
        <v>43647</v>
      </c>
    </row>
    <row r="3374" spans="1:6" x14ac:dyDescent="0.25">
      <c r="A3374">
        <v>6913532</v>
      </c>
      <c r="B3374" t="s">
        <v>3421</v>
      </c>
      <c r="C3374" t="str">
        <f>"9788021093775"</f>
        <v>9788021093775</v>
      </c>
      <c r="D3374" t="str">
        <f>"9788021093782"</f>
        <v>9788021093782</v>
      </c>
      <c r="E3374" t="s">
        <v>3398</v>
      </c>
      <c r="F3374" s="1">
        <v>43647</v>
      </c>
    </row>
    <row r="3375" spans="1:6" x14ac:dyDescent="0.25">
      <c r="A3375">
        <v>6913533</v>
      </c>
      <c r="B3375" t="s">
        <v>3422</v>
      </c>
      <c r="C3375" t="str">
        <f>""</f>
        <v/>
      </c>
      <c r="D3375" t="str">
        <f>"9788021093959"</f>
        <v>9788021093959</v>
      </c>
      <c r="E3375" t="s">
        <v>3398</v>
      </c>
      <c r="F3375" s="1">
        <v>43647</v>
      </c>
    </row>
    <row r="3376" spans="1:6" x14ac:dyDescent="0.25">
      <c r="A3376">
        <v>6913534</v>
      </c>
      <c r="B3376" t="s">
        <v>3423</v>
      </c>
      <c r="C3376" t="str">
        <f>""</f>
        <v/>
      </c>
      <c r="D3376" t="str">
        <f>"9788021094246"</f>
        <v>9788021094246</v>
      </c>
      <c r="E3376" t="s">
        <v>3398</v>
      </c>
      <c r="F3376" s="1">
        <v>43647</v>
      </c>
    </row>
    <row r="3377" spans="1:6" x14ac:dyDescent="0.25">
      <c r="A3377">
        <v>6913535</v>
      </c>
      <c r="B3377" t="s">
        <v>3424</v>
      </c>
      <c r="C3377" t="str">
        <f>""</f>
        <v/>
      </c>
      <c r="D3377" t="str">
        <f>"9788021094307"</f>
        <v>9788021094307</v>
      </c>
      <c r="E3377" t="s">
        <v>3398</v>
      </c>
      <c r="F3377" s="1">
        <v>43647</v>
      </c>
    </row>
    <row r="3378" spans="1:6" x14ac:dyDescent="0.25">
      <c r="A3378">
        <v>6913536</v>
      </c>
      <c r="B3378" t="s">
        <v>3425</v>
      </c>
      <c r="C3378" t="str">
        <f>""</f>
        <v/>
      </c>
      <c r="D3378" t="str">
        <f>"9788021094352"</f>
        <v>9788021094352</v>
      </c>
      <c r="E3378" t="s">
        <v>3398</v>
      </c>
      <c r="F3378" s="1">
        <v>43647</v>
      </c>
    </row>
    <row r="3379" spans="1:6" x14ac:dyDescent="0.25">
      <c r="A3379">
        <v>6913537</v>
      </c>
      <c r="B3379" t="s">
        <v>3426</v>
      </c>
      <c r="C3379" t="str">
        <f>"9788021094390"</f>
        <v>9788021094390</v>
      </c>
      <c r="D3379" t="str">
        <f>"9788021094406"</f>
        <v>9788021094406</v>
      </c>
      <c r="E3379" t="s">
        <v>3398</v>
      </c>
      <c r="F3379" s="1">
        <v>43647</v>
      </c>
    </row>
    <row r="3380" spans="1:6" x14ac:dyDescent="0.25">
      <c r="A3380">
        <v>6913538</v>
      </c>
      <c r="B3380" t="s">
        <v>3427</v>
      </c>
      <c r="C3380" t="str">
        <f>"9788021094611"</f>
        <v>9788021094611</v>
      </c>
      <c r="D3380" t="str">
        <f>"9788021094628"</f>
        <v>9788021094628</v>
      </c>
      <c r="E3380" t="s">
        <v>3398</v>
      </c>
      <c r="F3380" s="1">
        <v>43647</v>
      </c>
    </row>
    <row r="3381" spans="1:6" x14ac:dyDescent="0.25">
      <c r="A3381">
        <v>6913539</v>
      </c>
      <c r="B3381" t="s">
        <v>3428</v>
      </c>
      <c r="C3381" t="str">
        <f>"9788021094796"</f>
        <v>9788021094796</v>
      </c>
      <c r="D3381" t="str">
        <f>"9788021094802"</f>
        <v>9788021094802</v>
      </c>
      <c r="E3381" t="s">
        <v>3398</v>
      </c>
      <c r="F3381" s="1">
        <v>43647</v>
      </c>
    </row>
    <row r="3382" spans="1:6" x14ac:dyDescent="0.25">
      <c r="A3382">
        <v>6913540</v>
      </c>
      <c r="B3382" t="s">
        <v>3429</v>
      </c>
      <c r="C3382" t="str">
        <f>"9788021094819"</f>
        <v>9788021094819</v>
      </c>
      <c r="D3382" t="str">
        <f>"9788021094826"</f>
        <v>9788021094826</v>
      </c>
      <c r="E3382" t="s">
        <v>3398</v>
      </c>
      <c r="F3382" s="1">
        <v>43647</v>
      </c>
    </row>
    <row r="3383" spans="1:6" x14ac:dyDescent="0.25">
      <c r="A3383">
        <v>6913541</v>
      </c>
      <c r="B3383" t="s">
        <v>3430</v>
      </c>
      <c r="C3383" t="str">
        <f>""</f>
        <v/>
      </c>
      <c r="D3383" t="str">
        <f>"9788021094840"</f>
        <v>9788021094840</v>
      </c>
      <c r="E3383" t="s">
        <v>3398</v>
      </c>
      <c r="F3383" s="1">
        <v>43647</v>
      </c>
    </row>
    <row r="3384" spans="1:6" x14ac:dyDescent="0.25">
      <c r="A3384">
        <v>6913542</v>
      </c>
      <c r="B3384" t="s">
        <v>3431</v>
      </c>
      <c r="C3384" t="str">
        <f>""</f>
        <v/>
      </c>
      <c r="D3384" t="str">
        <f>"9788021094857"</f>
        <v>9788021094857</v>
      </c>
      <c r="E3384" t="s">
        <v>3398</v>
      </c>
      <c r="F3384" s="1">
        <v>43282</v>
      </c>
    </row>
    <row r="3385" spans="1:6" x14ac:dyDescent="0.25">
      <c r="A3385">
        <v>6913543</v>
      </c>
      <c r="B3385" t="s">
        <v>3432</v>
      </c>
      <c r="C3385" t="str">
        <f>""</f>
        <v/>
      </c>
      <c r="D3385" t="str">
        <f>"9788021094888"</f>
        <v>9788021094888</v>
      </c>
      <c r="E3385" t="s">
        <v>3398</v>
      </c>
      <c r="F3385" s="1">
        <v>43647</v>
      </c>
    </row>
    <row r="3386" spans="1:6" x14ac:dyDescent="0.25">
      <c r="A3386">
        <v>6913544</v>
      </c>
      <c r="B3386" t="s">
        <v>3433</v>
      </c>
      <c r="C3386" t="str">
        <f>""</f>
        <v/>
      </c>
      <c r="D3386" t="str">
        <f>"9788021095014"</f>
        <v>9788021095014</v>
      </c>
      <c r="E3386" t="s">
        <v>3398</v>
      </c>
      <c r="F3386" s="1">
        <v>43647</v>
      </c>
    </row>
    <row r="3387" spans="1:6" x14ac:dyDescent="0.25">
      <c r="A3387">
        <v>6913545</v>
      </c>
      <c r="B3387" t="s">
        <v>3434</v>
      </c>
      <c r="C3387" t="str">
        <f>"9788021095212"</f>
        <v>9788021095212</v>
      </c>
      <c r="D3387" t="str">
        <f>"9788021095229"</f>
        <v>9788021095229</v>
      </c>
      <c r="E3387" t="s">
        <v>3398</v>
      </c>
      <c r="F3387" s="1">
        <v>43647</v>
      </c>
    </row>
    <row r="3388" spans="1:6" x14ac:dyDescent="0.25">
      <c r="A3388">
        <v>6913546</v>
      </c>
      <c r="B3388" t="s">
        <v>3435</v>
      </c>
      <c r="C3388" t="str">
        <f>""</f>
        <v/>
      </c>
      <c r="D3388" t="str">
        <f>"9788021095274"</f>
        <v>9788021095274</v>
      </c>
      <c r="E3388" t="s">
        <v>3398</v>
      </c>
      <c r="F3388" s="1">
        <v>43647</v>
      </c>
    </row>
    <row r="3389" spans="1:6" x14ac:dyDescent="0.25">
      <c r="A3389">
        <v>6913547</v>
      </c>
      <c r="B3389" t="s">
        <v>3436</v>
      </c>
      <c r="C3389" t="str">
        <f>"9788021095359"</f>
        <v>9788021095359</v>
      </c>
      <c r="D3389" t="str">
        <f>"9788021095366"</f>
        <v>9788021095366</v>
      </c>
      <c r="E3389" t="s">
        <v>3398</v>
      </c>
      <c r="F3389" s="1">
        <v>43647</v>
      </c>
    </row>
    <row r="3390" spans="1:6" x14ac:dyDescent="0.25">
      <c r="A3390">
        <v>6913548</v>
      </c>
      <c r="B3390" t="s">
        <v>3437</v>
      </c>
      <c r="C3390" t="str">
        <f>"9788021095403"</f>
        <v>9788021095403</v>
      </c>
      <c r="D3390" t="str">
        <f>"9788021095410"</f>
        <v>9788021095410</v>
      </c>
      <c r="E3390" t="s">
        <v>3398</v>
      </c>
      <c r="F3390" s="1">
        <v>43647</v>
      </c>
    </row>
    <row r="3391" spans="1:6" x14ac:dyDescent="0.25">
      <c r="A3391">
        <v>6913549</v>
      </c>
      <c r="B3391" t="s">
        <v>3438</v>
      </c>
      <c r="C3391" t="str">
        <f>""</f>
        <v/>
      </c>
      <c r="D3391" t="str">
        <f>"9788021095427"</f>
        <v>9788021095427</v>
      </c>
      <c r="E3391" t="s">
        <v>3398</v>
      </c>
      <c r="F3391" s="1">
        <v>44013</v>
      </c>
    </row>
    <row r="3392" spans="1:6" x14ac:dyDescent="0.25">
      <c r="A3392">
        <v>6913550</v>
      </c>
      <c r="B3392" t="s">
        <v>3439</v>
      </c>
      <c r="C3392" t="str">
        <f>"9788021095465"</f>
        <v>9788021095465</v>
      </c>
      <c r="D3392" t="str">
        <f>"9788021095472"</f>
        <v>9788021095472</v>
      </c>
      <c r="E3392" t="s">
        <v>3398</v>
      </c>
      <c r="F3392" s="1">
        <v>43647</v>
      </c>
    </row>
    <row r="3393" spans="1:6" x14ac:dyDescent="0.25">
      <c r="A3393">
        <v>6913551</v>
      </c>
      <c r="B3393" t="s">
        <v>3440</v>
      </c>
      <c r="C3393" t="str">
        <f>""</f>
        <v/>
      </c>
      <c r="D3393" t="str">
        <f>"9788021095502"</f>
        <v>9788021095502</v>
      </c>
      <c r="E3393" t="s">
        <v>3398</v>
      </c>
      <c r="F3393" s="1">
        <v>44013</v>
      </c>
    </row>
    <row r="3394" spans="1:6" x14ac:dyDescent="0.25">
      <c r="A3394">
        <v>6913552</v>
      </c>
      <c r="B3394" t="s">
        <v>3441</v>
      </c>
      <c r="C3394" t="str">
        <f>"9788021095519"</f>
        <v>9788021095519</v>
      </c>
      <c r="D3394" t="str">
        <f>"9788021095526"</f>
        <v>9788021095526</v>
      </c>
      <c r="E3394" t="s">
        <v>3398</v>
      </c>
      <c r="F3394" s="1">
        <v>43647</v>
      </c>
    </row>
    <row r="3395" spans="1:6" x14ac:dyDescent="0.25">
      <c r="A3395">
        <v>6913553</v>
      </c>
      <c r="B3395" t="s">
        <v>3442</v>
      </c>
      <c r="C3395" t="str">
        <f>""</f>
        <v/>
      </c>
      <c r="D3395" t="str">
        <f>"9788021095564"</f>
        <v>9788021095564</v>
      </c>
      <c r="E3395" t="s">
        <v>3398</v>
      </c>
      <c r="F3395" s="1">
        <v>43647</v>
      </c>
    </row>
    <row r="3396" spans="1:6" x14ac:dyDescent="0.25">
      <c r="A3396">
        <v>6913554</v>
      </c>
      <c r="B3396" t="s">
        <v>3443</v>
      </c>
      <c r="C3396" t="str">
        <f>""</f>
        <v/>
      </c>
      <c r="D3396" t="str">
        <f>"9788021095632"</f>
        <v>9788021095632</v>
      </c>
      <c r="E3396" t="s">
        <v>3398</v>
      </c>
      <c r="F3396" s="1">
        <v>44013</v>
      </c>
    </row>
    <row r="3397" spans="1:6" x14ac:dyDescent="0.25">
      <c r="A3397">
        <v>6913555</v>
      </c>
      <c r="B3397" t="s">
        <v>3444</v>
      </c>
      <c r="C3397" t="str">
        <f>"9788021095663"</f>
        <v>9788021095663</v>
      </c>
      <c r="D3397" t="str">
        <f>"9788021095670"</f>
        <v>9788021095670</v>
      </c>
      <c r="E3397" t="s">
        <v>3398</v>
      </c>
      <c r="F3397" s="1">
        <v>44013</v>
      </c>
    </row>
    <row r="3398" spans="1:6" x14ac:dyDescent="0.25">
      <c r="A3398">
        <v>6913556</v>
      </c>
      <c r="B3398" t="s">
        <v>3445</v>
      </c>
      <c r="C3398" t="str">
        <f>"9788021091085"</f>
        <v>9788021091085</v>
      </c>
      <c r="D3398" t="str">
        <f>"9788021095724"</f>
        <v>9788021095724</v>
      </c>
      <c r="E3398" t="s">
        <v>3398</v>
      </c>
      <c r="F3398" s="1">
        <v>44013</v>
      </c>
    </row>
    <row r="3399" spans="1:6" x14ac:dyDescent="0.25">
      <c r="A3399">
        <v>6913557</v>
      </c>
      <c r="B3399" t="s">
        <v>3446</v>
      </c>
      <c r="C3399" t="str">
        <f>"9788021066755"</f>
        <v>9788021066755</v>
      </c>
      <c r="D3399" t="str">
        <f>"9788021095731"</f>
        <v>9788021095731</v>
      </c>
      <c r="E3399" t="s">
        <v>3398</v>
      </c>
      <c r="F3399" s="1">
        <v>44013</v>
      </c>
    </row>
    <row r="3400" spans="1:6" x14ac:dyDescent="0.25">
      <c r="A3400">
        <v>6913558</v>
      </c>
      <c r="B3400" t="s">
        <v>3447</v>
      </c>
      <c r="C3400" t="str">
        <f>"9788021064881"</f>
        <v>9788021064881</v>
      </c>
      <c r="D3400" t="str">
        <f>"9788021095779"</f>
        <v>9788021095779</v>
      </c>
      <c r="E3400" t="s">
        <v>3398</v>
      </c>
      <c r="F3400" s="1">
        <v>44013</v>
      </c>
    </row>
    <row r="3401" spans="1:6" x14ac:dyDescent="0.25">
      <c r="A3401">
        <v>6913559</v>
      </c>
      <c r="B3401" t="s">
        <v>3448</v>
      </c>
      <c r="C3401" t="str">
        <f>"9788021095816"</f>
        <v>9788021095816</v>
      </c>
      <c r="D3401" t="str">
        <f>"9788021095823"</f>
        <v>9788021095823</v>
      </c>
      <c r="E3401" t="s">
        <v>3398</v>
      </c>
      <c r="F3401" s="1">
        <v>44013</v>
      </c>
    </row>
    <row r="3402" spans="1:6" x14ac:dyDescent="0.25">
      <c r="A3402">
        <v>6913560</v>
      </c>
      <c r="B3402" t="s">
        <v>3449</v>
      </c>
      <c r="C3402" t="str">
        <f>""</f>
        <v/>
      </c>
      <c r="D3402" t="str">
        <f>"9788021095908"</f>
        <v>9788021095908</v>
      </c>
      <c r="E3402" t="s">
        <v>3398</v>
      </c>
      <c r="F3402" s="1">
        <v>43647</v>
      </c>
    </row>
    <row r="3403" spans="1:6" x14ac:dyDescent="0.25">
      <c r="A3403">
        <v>6913561</v>
      </c>
      <c r="B3403" t="s">
        <v>3450</v>
      </c>
      <c r="C3403" t="str">
        <f>"9788021095892"</f>
        <v>9788021095892</v>
      </c>
      <c r="D3403" t="str">
        <f>"9788021095915"</f>
        <v>9788021095915</v>
      </c>
      <c r="E3403" t="s">
        <v>3398</v>
      </c>
      <c r="F3403" s="1">
        <v>44013</v>
      </c>
    </row>
    <row r="3404" spans="1:6" x14ac:dyDescent="0.25">
      <c r="A3404">
        <v>6913562</v>
      </c>
      <c r="B3404" t="s">
        <v>3451</v>
      </c>
      <c r="C3404" t="str">
        <f>""</f>
        <v/>
      </c>
      <c r="D3404" t="str">
        <f>"9788021095922"</f>
        <v>9788021095922</v>
      </c>
      <c r="E3404" t="s">
        <v>3398</v>
      </c>
      <c r="F3404" s="1">
        <v>43647</v>
      </c>
    </row>
    <row r="3405" spans="1:6" x14ac:dyDescent="0.25">
      <c r="A3405">
        <v>6913563</v>
      </c>
      <c r="B3405" t="s">
        <v>3452</v>
      </c>
      <c r="C3405" t="str">
        <f>""</f>
        <v/>
      </c>
      <c r="D3405" t="str">
        <f>"9788021095939"</f>
        <v>9788021095939</v>
      </c>
      <c r="E3405" t="s">
        <v>3398</v>
      </c>
      <c r="F3405" s="1">
        <v>44013</v>
      </c>
    </row>
    <row r="3406" spans="1:6" x14ac:dyDescent="0.25">
      <c r="A3406">
        <v>6913564</v>
      </c>
      <c r="B3406" t="s">
        <v>3453</v>
      </c>
      <c r="C3406" t="str">
        <f>"9788021065031"</f>
        <v>9788021065031</v>
      </c>
      <c r="D3406" t="str">
        <f>"9788021095946"</f>
        <v>9788021095946</v>
      </c>
      <c r="E3406" t="s">
        <v>3398</v>
      </c>
      <c r="F3406" s="1">
        <v>44013</v>
      </c>
    </row>
    <row r="3407" spans="1:6" x14ac:dyDescent="0.25">
      <c r="A3407">
        <v>6913565</v>
      </c>
      <c r="B3407" t="s">
        <v>3454</v>
      </c>
      <c r="C3407" t="str">
        <f>""</f>
        <v/>
      </c>
      <c r="D3407" t="str">
        <f>"9788021095953"</f>
        <v>9788021095953</v>
      </c>
      <c r="E3407" t="s">
        <v>3398</v>
      </c>
      <c r="F3407" s="1">
        <v>43647</v>
      </c>
    </row>
    <row r="3408" spans="1:6" x14ac:dyDescent="0.25">
      <c r="A3408">
        <v>6913566</v>
      </c>
      <c r="B3408" t="s">
        <v>3455</v>
      </c>
      <c r="C3408" t="str">
        <f>""</f>
        <v/>
      </c>
      <c r="D3408" t="str">
        <f>"9788021095991"</f>
        <v>9788021095991</v>
      </c>
      <c r="E3408" t="s">
        <v>3398</v>
      </c>
      <c r="F3408" s="1">
        <v>43647</v>
      </c>
    </row>
    <row r="3409" spans="1:6" x14ac:dyDescent="0.25">
      <c r="A3409">
        <v>6913567</v>
      </c>
      <c r="B3409" t="s">
        <v>3456</v>
      </c>
      <c r="C3409" t="str">
        <f>"9788021093829"</f>
        <v>9788021093829</v>
      </c>
      <c r="D3409" t="str">
        <f>"9788021096059"</f>
        <v>9788021096059</v>
      </c>
      <c r="E3409" t="s">
        <v>3398</v>
      </c>
      <c r="F3409" s="1">
        <v>44013</v>
      </c>
    </row>
    <row r="3410" spans="1:6" x14ac:dyDescent="0.25">
      <c r="A3410">
        <v>6913568</v>
      </c>
      <c r="B3410" t="s">
        <v>3457</v>
      </c>
      <c r="C3410" t="str">
        <f>""</f>
        <v/>
      </c>
      <c r="D3410" t="str">
        <f>"9788021096110"</f>
        <v>9788021096110</v>
      </c>
      <c r="E3410" t="s">
        <v>3398</v>
      </c>
      <c r="F3410" s="1">
        <v>44013</v>
      </c>
    </row>
    <row r="3411" spans="1:6" x14ac:dyDescent="0.25">
      <c r="A3411">
        <v>6913569</v>
      </c>
      <c r="B3411" t="s">
        <v>3458</v>
      </c>
      <c r="C3411" t="str">
        <f>""</f>
        <v/>
      </c>
      <c r="D3411" t="str">
        <f>"9788021096202"</f>
        <v>9788021096202</v>
      </c>
      <c r="E3411" t="s">
        <v>3398</v>
      </c>
      <c r="F3411" s="1">
        <v>43647</v>
      </c>
    </row>
    <row r="3412" spans="1:6" x14ac:dyDescent="0.25">
      <c r="A3412">
        <v>6913570</v>
      </c>
      <c r="B3412" t="s">
        <v>3459</v>
      </c>
      <c r="C3412" t="str">
        <f>"9788021096240"</f>
        <v>9788021096240</v>
      </c>
      <c r="D3412" t="str">
        <f>"9788021096257"</f>
        <v>9788021096257</v>
      </c>
      <c r="E3412" t="s">
        <v>3398</v>
      </c>
      <c r="F3412" s="1">
        <v>44013</v>
      </c>
    </row>
    <row r="3413" spans="1:6" x14ac:dyDescent="0.25">
      <c r="A3413">
        <v>6913571</v>
      </c>
      <c r="B3413" t="s">
        <v>3460</v>
      </c>
      <c r="C3413" t="str">
        <f>""</f>
        <v/>
      </c>
      <c r="D3413" t="str">
        <f>"9788021096318"</f>
        <v>9788021096318</v>
      </c>
      <c r="E3413" t="s">
        <v>3398</v>
      </c>
      <c r="F3413" s="1">
        <v>44013</v>
      </c>
    </row>
    <row r="3414" spans="1:6" x14ac:dyDescent="0.25">
      <c r="A3414">
        <v>6913572</v>
      </c>
      <c r="B3414" t="s">
        <v>3461</v>
      </c>
      <c r="C3414" t="str">
        <f>""</f>
        <v/>
      </c>
      <c r="D3414" t="str">
        <f>"9788021096325"</f>
        <v>9788021096325</v>
      </c>
      <c r="E3414" t="s">
        <v>3398</v>
      </c>
      <c r="F3414" s="1">
        <v>44013</v>
      </c>
    </row>
    <row r="3415" spans="1:6" x14ac:dyDescent="0.25">
      <c r="A3415">
        <v>6913573</v>
      </c>
      <c r="B3415" t="s">
        <v>3462</v>
      </c>
      <c r="C3415" t="str">
        <f>""</f>
        <v/>
      </c>
      <c r="D3415" t="str">
        <f>"9788021096271"</f>
        <v>9788021096271</v>
      </c>
      <c r="E3415" t="s">
        <v>3398</v>
      </c>
      <c r="F3415" s="1">
        <v>44013</v>
      </c>
    </row>
    <row r="3416" spans="1:6" x14ac:dyDescent="0.25">
      <c r="A3416">
        <v>6913574</v>
      </c>
      <c r="B3416" t="s">
        <v>3463</v>
      </c>
      <c r="C3416" t="str">
        <f>"9788021096394"</f>
        <v>9788021096394</v>
      </c>
      <c r="D3416" t="str">
        <f>"9788021096400"</f>
        <v>9788021096400</v>
      </c>
      <c r="E3416" t="s">
        <v>3398</v>
      </c>
      <c r="F3416" s="1">
        <v>44013</v>
      </c>
    </row>
    <row r="3417" spans="1:6" x14ac:dyDescent="0.25">
      <c r="A3417">
        <v>6913575</v>
      </c>
      <c r="B3417" t="s">
        <v>3464</v>
      </c>
      <c r="C3417" t="str">
        <f>""</f>
        <v/>
      </c>
      <c r="D3417" t="str">
        <f>"9788021096417"</f>
        <v>9788021096417</v>
      </c>
      <c r="E3417" t="s">
        <v>3398</v>
      </c>
      <c r="F3417" s="1">
        <v>44013</v>
      </c>
    </row>
    <row r="3418" spans="1:6" x14ac:dyDescent="0.25">
      <c r="A3418">
        <v>6913576</v>
      </c>
      <c r="B3418" t="s">
        <v>3465</v>
      </c>
      <c r="C3418" t="str">
        <f>""</f>
        <v/>
      </c>
      <c r="D3418" t="str">
        <f>"9788021096431"</f>
        <v>9788021096431</v>
      </c>
      <c r="E3418" t="s">
        <v>3398</v>
      </c>
      <c r="F3418" s="1">
        <v>43647</v>
      </c>
    </row>
    <row r="3419" spans="1:6" x14ac:dyDescent="0.25">
      <c r="A3419">
        <v>6913577</v>
      </c>
      <c r="B3419" t="s">
        <v>3466</v>
      </c>
      <c r="C3419" t="str">
        <f>"9788021096479"</f>
        <v>9788021096479</v>
      </c>
      <c r="D3419" t="str">
        <f>"9788021096486"</f>
        <v>9788021096486</v>
      </c>
      <c r="E3419" t="s">
        <v>3398</v>
      </c>
      <c r="F3419" s="1">
        <v>44013</v>
      </c>
    </row>
    <row r="3420" spans="1:6" x14ac:dyDescent="0.25">
      <c r="A3420">
        <v>6913578</v>
      </c>
      <c r="B3420" t="s">
        <v>3467</v>
      </c>
      <c r="C3420" t="str">
        <f>"9788021096516"</f>
        <v>9788021096516</v>
      </c>
      <c r="D3420" t="str">
        <f>"9788021096523"</f>
        <v>9788021096523</v>
      </c>
      <c r="E3420" t="s">
        <v>3398</v>
      </c>
      <c r="F3420" s="1">
        <v>44013</v>
      </c>
    </row>
    <row r="3421" spans="1:6" x14ac:dyDescent="0.25">
      <c r="A3421">
        <v>6913579</v>
      </c>
      <c r="B3421" t="s">
        <v>3468</v>
      </c>
      <c r="C3421" t="str">
        <f>""</f>
        <v/>
      </c>
      <c r="D3421" t="str">
        <f>"9788021096714"</f>
        <v>9788021096714</v>
      </c>
      <c r="E3421" t="s">
        <v>3398</v>
      </c>
      <c r="F3421" s="1">
        <v>44013</v>
      </c>
    </row>
    <row r="3422" spans="1:6" x14ac:dyDescent="0.25">
      <c r="A3422">
        <v>6913580</v>
      </c>
      <c r="B3422" t="s">
        <v>3469</v>
      </c>
      <c r="C3422" t="str">
        <f>""</f>
        <v/>
      </c>
      <c r="D3422" t="str">
        <f>"9788021096745"</f>
        <v>9788021096745</v>
      </c>
      <c r="E3422" t="s">
        <v>3398</v>
      </c>
      <c r="F3422" s="1">
        <v>43647</v>
      </c>
    </row>
    <row r="3423" spans="1:6" x14ac:dyDescent="0.25">
      <c r="A3423">
        <v>6913581</v>
      </c>
      <c r="B3423" t="s">
        <v>3470</v>
      </c>
      <c r="C3423" t="str">
        <f>""</f>
        <v/>
      </c>
      <c r="D3423" t="str">
        <f>"9788021096752"</f>
        <v>9788021096752</v>
      </c>
      <c r="E3423" t="s">
        <v>3398</v>
      </c>
      <c r="F3423" s="1">
        <v>43647</v>
      </c>
    </row>
    <row r="3424" spans="1:6" x14ac:dyDescent="0.25">
      <c r="A3424">
        <v>6913582</v>
      </c>
      <c r="B3424" t="s">
        <v>3471</v>
      </c>
      <c r="C3424" t="str">
        <f>""</f>
        <v/>
      </c>
      <c r="D3424" t="str">
        <f>"9788021096783"</f>
        <v>9788021096783</v>
      </c>
      <c r="E3424" t="s">
        <v>3398</v>
      </c>
      <c r="F3424" s="1">
        <v>43647</v>
      </c>
    </row>
    <row r="3425" spans="1:6" x14ac:dyDescent="0.25">
      <c r="A3425">
        <v>6913583</v>
      </c>
      <c r="B3425" t="s">
        <v>3472</v>
      </c>
      <c r="C3425" t="str">
        <f>"9788021096875"</f>
        <v>9788021096875</v>
      </c>
      <c r="D3425" t="str">
        <f>"9788021096882"</f>
        <v>9788021096882</v>
      </c>
      <c r="E3425" t="s">
        <v>3398</v>
      </c>
      <c r="F3425" s="1">
        <v>44013</v>
      </c>
    </row>
    <row r="3426" spans="1:6" x14ac:dyDescent="0.25">
      <c r="A3426">
        <v>6913584</v>
      </c>
      <c r="B3426" t="s">
        <v>3473</v>
      </c>
      <c r="C3426" t="str">
        <f>""</f>
        <v/>
      </c>
      <c r="D3426" t="str">
        <f>"9788021096905"</f>
        <v>9788021096905</v>
      </c>
      <c r="E3426" t="s">
        <v>3398</v>
      </c>
      <c r="F3426" s="1">
        <v>44013</v>
      </c>
    </row>
    <row r="3427" spans="1:6" x14ac:dyDescent="0.25">
      <c r="A3427">
        <v>6913585</v>
      </c>
      <c r="B3427" t="s">
        <v>3474</v>
      </c>
      <c r="C3427" t="str">
        <f>"9788021096660"</f>
        <v>9788021096660</v>
      </c>
      <c r="D3427" t="str">
        <f>"9788021096929"</f>
        <v>9788021096929</v>
      </c>
      <c r="E3427" t="s">
        <v>3398</v>
      </c>
      <c r="F3427" s="1">
        <v>44013</v>
      </c>
    </row>
    <row r="3428" spans="1:6" x14ac:dyDescent="0.25">
      <c r="A3428">
        <v>6913586</v>
      </c>
      <c r="B3428" t="s">
        <v>3475</v>
      </c>
      <c r="C3428" t="str">
        <f>"9788021096936"</f>
        <v>9788021096936</v>
      </c>
      <c r="D3428" t="str">
        <f>"9788021096943"</f>
        <v>9788021096943</v>
      </c>
      <c r="E3428" t="s">
        <v>3398</v>
      </c>
      <c r="F3428" s="1">
        <v>44013</v>
      </c>
    </row>
    <row r="3429" spans="1:6" x14ac:dyDescent="0.25">
      <c r="A3429">
        <v>6913587</v>
      </c>
      <c r="B3429" t="s">
        <v>3476</v>
      </c>
      <c r="C3429" t="str">
        <f>"9788021097032"</f>
        <v>9788021097032</v>
      </c>
      <c r="D3429" t="str">
        <f>"9788021097049"</f>
        <v>9788021097049</v>
      </c>
      <c r="E3429" t="s">
        <v>3398</v>
      </c>
      <c r="F3429" s="1">
        <v>44013</v>
      </c>
    </row>
    <row r="3430" spans="1:6" x14ac:dyDescent="0.25">
      <c r="A3430">
        <v>6913588</v>
      </c>
      <c r="B3430" t="s">
        <v>3477</v>
      </c>
      <c r="C3430" t="str">
        <f>"9788021097087"</f>
        <v>9788021097087</v>
      </c>
      <c r="D3430" t="str">
        <f>"9788021097117"</f>
        <v>9788021097117</v>
      </c>
      <c r="E3430" t="s">
        <v>3398</v>
      </c>
      <c r="F3430" s="1">
        <v>44013</v>
      </c>
    </row>
    <row r="3431" spans="1:6" x14ac:dyDescent="0.25">
      <c r="A3431">
        <v>6913589</v>
      </c>
      <c r="B3431" t="s">
        <v>3478</v>
      </c>
      <c r="C3431" t="str">
        <f>"9788021097490"</f>
        <v>9788021097490</v>
      </c>
      <c r="D3431" t="str">
        <f>"9788021097308"</f>
        <v>9788021097308</v>
      </c>
      <c r="E3431" t="s">
        <v>3398</v>
      </c>
      <c r="F3431" s="1">
        <v>44013</v>
      </c>
    </row>
    <row r="3432" spans="1:6" x14ac:dyDescent="0.25">
      <c r="A3432">
        <v>6913590</v>
      </c>
      <c r="B3432" t="s">
        <v>3479</v>
      </c>
      <c r="C3432" t="str">
        <f>"9788021097414"</f>
        <v>9788021097414</v>
      </c>
      <c r="D3432" t="str">
        <f>"9788021097421"</f>
        <v>9788021097421</v>
      </c>
      <c r="E3432" t="s">
        <v>3398</v>
      </c>
      <c r="F3432" s="1">
        <v>44013</v>
      </c>
    </row>
    <row r="3433" spans="1:6" x14ac:dyDescent="0.25">
      <c r="A3433">
        <v>6913591</v>
      </c>
      <c r="B3433" t="s">
        <v>3480</v>
      </c>
      <c r="C3433" t="str">
        <f>"9788021097438"</f>
        <v>9788021097438</v>
      </c>
      <c r="D3433" t="str">
        <f>"9788021097445"</f>
        <v>9788021097445</v>
      </c>
      <c r="E3433" t="s">
        <v>3398</v>
      </c>
      <c r="F3433" s="1">
        <v>44378</v>
      </c>
    </row>
    <row r="3434" spans="1:6" x14ac:dyDescent="0.25">
      <c r="A3434">
        <v>6913592</v>
      </c>
      <c r="B3434" t="s">
        <v>3481</v>
      </c>
      <c r="C3434" t="str">
        <f>"9788021097452"</f>
        <v>9788021097452</v>
      </c>
      <c r="D3434" t="str">
        <f>"9788021097469"</f>
        <v>9788021097469</v>
      </c>
      <c r="E3434" t="s">
        <v>3398</v>
      </c>
      <c r="F3434" s="1">
        <v>44013</v>
      </c>
    </row>
    <row r="3435" spans="1:6" x14ac:dyDescent="0.25">
      <c r="A3435">
        <v>6913593</v>
      </c>
      <c r="B3435" t="s">
        <v>3482</v>
      </c>
      <c r="C3435" t="str">
        <f>"9788021097537"</f>
        <v>9788021097537</v>
      </c>
      <c r="D3435" t="str">
        <f>"9788021097544"</f>
        <v>9788021097544</v>
      </c>
      <c r="E3435" t="s">
        <v>3398</v>
      </c>
      <c r="F3435" s="1">
        <v>44013</v>
      </c>
    </row>
    <row r="3436" spans="1:6" x14ac:dyDescent="0.25">
      <c r="A3436">
        <v>6913594</v>
      </c>
      <c r="B3436" t="s">
        <v>3483</v>
      </c>
      <c r="C3436" t="str">
        <f>"9788021097575"</f>
        <v>9788021097575</v>
      </c>
      <c r="D3436" t="str">
        <f>"9788021097582"</f>
        <v>9788021097582</v>
      </c>
      <c r="E3436" t="s">
        <v>3398</v>
      </c>
      <c r="F3436" s="1">
        <v>44378</v>
      </c>
    </row>
    <row r="3437" spans="1:6" x14ac:dyDescent="0.25">
      <c r="A3437">
        <v>6913595</v>
      </c>
      <c r="B3437" t="s">
        <v>3484</v>
      </c>
      <c r="C3437" t="str">
        <f>"9788021097605"</f>
        <v>9788021097605</v>
      </c>
      <c r="D3437" t="str">
        <f>"9788021097612"</f>
        <v>9788021097612</v>
      </c>
      <c r="E3437" t="s">
        <v>3398</v>
      </c>
      <c r="F3437" s="1">
        <v>44013</v>
      </c>
    </row>
    <row r="3438" spans="1:6" x14ac:dyDescent="0.25">
      <c r="A3438">
        <v>6913596</v>
      </c>
      <c r="B3438" t="s">
        <v>3485</v>
      </c>
      <c r="C3438" t="str">
        <f>"9788021097629"</f>
        <v>9788021097629</v>
      </c>
      <c r="D3438" t="str">
        <f>"9788021097636"</f>
        <v>9788021097636</v>
      </c>
      <c r="E3438" t="s">
        <v>3398</v>
      </c>
      <c r="F3438" s="1">
        <v>44378</v>
      </c>
    </row>
    <row r="3439" spans="1:6" x14ac:dyDescent="0.25">
      <c r="A3439">
        <v>6913597</v>
      </c>
      <c r="B3439" t="s">
        <v>3486</v>
      </c>
      <c r="C3439" t="str">
        <f>"9788021097667"</f>
        <v>9788021097667</v>
      </c>
      <c r="D3439" t="str">
        <f>"9788021097674"</f>
        <v>9788021097674</v>
      </c>
      <c r="E3439" t="s">
        <v>3398</v>
      </c>
      <c r="F3439" s="1">
        <v>44013</v>
      </c>
    </row>
    <row r="3440" spans="1:6" x14ac:dyDescent="0.25">
      <c r="A3440">
        <v>6913598</v>
      </c>
      <c r="B3440" t="s">
        <v>3487</v>
      </c>
      <c r="C3440" t="str">
        <f>"9788021031036"</f>
        <v>9788021031036</v>
      </c>
      <c r="D3440" t="str">
        <f>"9788021097698"</f>
        <v>9788021097698</v>
      </c>
      <c r="E3440" t="s">
        <v>3398</v>
      </c>
      <c r="F3440" s="1">
        <v>44378</v>
      </c>
    </row>
    <row r="3441" spans="1:6" x14ac:dyDescent="0.25">
      <c r="A3441">
        <v>6913599</v>
      </c>
      <c r="B3441" t="s">
        <v>3488</v>
      </c>
      <c r="C3441" t="str">
        <f>""</f>
        <v/>
      </c>
      <c r="D3441" t="str">
        <f>"9788021097810"</f>
        <v>9788021097810</v>
      </c>
      <c r="E3441" t="s">
        <v>3398</v>
      </c>
      <c r="F3441" s="1">
        <v>44013</v>
      </c>
    </row>
    <row r="3442" spans="1:6" x14ac:dyDescent="0.25">
      <c r="A3442">
        <v>6913600</v>
      </c>
      <c r="B3442" t="s">
        <v>3489</v>
      </c>
      <c r="C3442" t="str">
        <f>""</f>
        <v/>
      </c>
      <c r="D3442" t="str">
        <f>"9788021097872"</f>
        <v>9788021097872</v>
      </c>
      <c r="E3442" t="s">
        <v>3398</v>
      </c>
      <c r="F3442" s="1">
        <v>44378</v>
      </c>
    </row>
    <row r="3443" spans="1:6" x14ac:dyDescent="0.25">
      <c r="A3443">
        <v>6913601</v>
      </c>
      <c r="B3443" t="s">
        <v>3490</v>
      </c>
      <c r="C3443" t="str">
        <f>""</f>
        <v/>
      </c>
      <c r="D3443" t="str">
        <f>"9788021097889"</f>
        <v>9788021097889</v>
      </c>
      <c r="E3443" t="s">
        <v>3398</v>
      </c>
      <c r="F3443" s="1">
        <v>44013</v>
      </c>
    </row>
    <row r="3444" spans="1:6" x14ac:dyDescent="0.25">
      <c r="A3444">
        <v>6913602</v>
      </c>
      <c r="B3444" t="s">
        <v>3491</v>
      </c>
      <c r="C3444" t="str">
        <f>"9788021097988"</f>
        <v>9788021097988</v>
      </c>
      <c r="D3444" t="str">
        <f>"9788021097995"</f>
        <v>9788021097995</v>
      </c>
      <c r="E3444" t="s">
        <v>3398</v>
      </c>
      <c r="F3444" s="1">
        <v>44378</v>
      </c>
    </row>
    <row r="3445" spans="1:6" x14ac:dyDescent="0.25">
      <c r="A3445">
        <v>6913603</v>
      </c>
      <c r="B3445" t="s">
        <v>3492</v>
      </c>
      <c r="C3445" t="str">
        <f>"9788021098022"</f>
        <v>9788021098022</v>
      </c>
      <c r="D3445" t="str">
        <f>"9788021098039"</f>
        <v>9788021098039</v>
      </c>
      <c r="E3445" t="s">
        <v>3398</v>
      </c>
      <c r="F3445" s="1">
        <v>44013</v>
      </c>
    </row>
    <row r="3446" spans="1:6" x14ac:dyDescent="0.25">
      <c r="A3446">
        <v>6913604</v>
      </c>
      <c r="B3446" t="s">
        <v>3493</v>
      </c>
      <c r="C3446" t="str">
        <f>"9788021098091"</f>
        <v>9788021098091</v>
      </c>
      <c r="D3446" t="str">
        <f>"9788021098107"</f>
        <v>9788021098107</v>
      </c>
      <c r="E3446" t="s">
        <v>3398</v>
      </c>
      <c r="F3446" s="1">
        <v>44378</v>
      </c>
    </row>
    <row r="3447" spans="1:6" x14ac:dyDescent="0.25">
      <c r="A3447">
        <v>6913605</v>
      </c>
      <c r="B3447" t="s">
        <v>3494</v>
      </c>
      <c r="C3447" t="str">
        <f>"9788021098183"</f>
        <v>9788021098183</v>
      </c>
      <c r="D3447" t="str">
        <f>"9788021098190"</f>
        <v>9788021098190</v>
      </c>
      <c r="E3447" t="s">
        <v>3398</v>
      </c>
      <c r="F3447" s="1">
        <v>44013</v>
      </c>
    </row>
    <row r="3448" spans="1:6" x14ac:dyDescent="0.25">
      <c r="A3448">
        <v>6913606</v>
      </c>
      <c r="B3448" t="s">
        <v>3495</v>
      </c>
      <c r="C3448" t="str">
        <f>"9788021098213"</f>
        <v>9788021098213</v>
      </c>
      <c r="D3448" t="str">
        <f>"9788021098220"</f>
        <v>9788021098220</v>
      </c>
      <c r="E3448" t="s">
        <v>3398</v>
      </c>
      <c r="F3448" s="1">
        <v>44013</v>
      </c>
    </row>
    <row r="3449" spans="1:6" x14ac:dyDescent="0.25">
      <c r="A3449">
        <v>6913607</v>
      </c>
      <c r="B3449" t="s">
        <v>3496</v>
      </c>
      <c r="C3449" t="str">
        <f>""</f>
        <v/>
      </c>
      <c r="D3449" t="str">
        <f>"9788021098305"</f>
        <v>9788021098305</v>
      </c>
      <c r="E3449" t="s">
        <v>3398</v>
      </c>
      <c r="F3449" s="1">
        <v>44013</v>
      </c>
    </row>
    <row r="3450" spans="1:6" x14ac:dyDescent="0.25">
      <c r="A3450">
        <v>6913608</v>
      </c>
      <c r="B3450" t="s">
        <v>3497</v>
      </c>
      <c r="C3450" t="str">
        <f>""</f>
        <v/>
      </c>
      <c r="D3450" t="str">
        <f>"9788021098312"</f>
        <v>9788021098312</v>
      </c>
      <c r="E3450" t="s">
        <v>3398</v>
      </c>
      <c r="F3450" s="1">
        <v>44013</v>
      </c>
    </row>
    <row r="3451" spans="1:6" x14ac:dyDescent="0.25">
      <c r="A3451">
        <v>6913609</v>
      </c>
      <c r="B3451" t="s">
        <v>3498</v>
      </c>
      <c r="C3451" t="str">
        <f>""</f>
        <v/>
      </c>
      <c r="D3451" t="str">
        <f>"9788021098343"</f>
        <v>9788021098343</v>
      </c>
      <c r="E3451" t="s">
        <v>3398</v>
      </c>
      <c r="F3451" s="1">
        <v>44013</v>
      </c>
    </row>
    <row r="3452" spans="1:6" x14ac:dyDescent="0.25">
      <c r="A3452">
        <v>6913610</v>
      </c>
      <c r="B3452" t="s">
        <v>3499</v>
      </c>
      <c r="C3452" t="str">
        <f>""</f>
        <v/>
      </c>
      <c r="D3452" t="str">
        <f>"9788021098398"</f>
        <v>9788021098398</v>
      </c>
      <c r="E3452" t="s">
        <v>3398</v>
      </c>
      <c r="F3452" s="1">
        <v>44378</v>
      </c>
    </row>
    <row r="3453" spans="1:6" x14ac:dyDescent="0.25">
      <c r="A3453">
        <v>6913611</v>
      </c>
      <c r="B3453" t="s">
        <v>3500</v>
      </c>
      <c r="C3453" t="str">
        <f>""</f>
        <v/>
      </c>
      <c r="D3453" t="str">
        <f>"9788021098404"</f>
        <v>9788021098404</v>
      </c>
      <c r="E3453" t="s">
        <v>3398</v>
      </c>
      <c r="F3453" s="1">
        <v>44378</v>
      </c>
    </row>
    <row r="3454" spans="1:6" x14ac:dyDescent="0.25">
      <c r="A3454">
        <v>6913612</v>
      </c>
      <c r="B3454" t="s">
        <v>3501</v>
      </c>
      <c r="C3454" t="str">
        <f>""</f>
        <v/>
      </c>
      <c r="D3454" t="str">
        <f>"9788021098411"</f>
        <v>9788021098411</v>
      </c>
      <c r="E3454" t="s">
        <v>3398</v>
      </c>
      <c r="F3454" s="1">
        <v>44013</v>
      </c>
    </row>
    <row r="3455" spans="1:6" x14ac:dyDescent="0.25">
      <c r="A3455">
        <v>6913613</v>
      </c>
      <c r="B3455" t="s">
        <v>3502</v>
      </c>
      <c r="C3455" t="str">
        <f>""</f>
        <v/>
      </c>
      <c r="D3455" t="str">
        <f>"9788021098459"</f>
        <v>9788021098459</v>
      </c>
      <c r="E3455" t="s">
        <v>3398</v>
      </c>
      <c r="F3455" s="1">
        <v>44013</v>
      </c>
    </row>
    <row r="3456" spans="1:6" x14ac:dyDescent="0.25">
      <c r="A3456">
        <v>6913614</v>
      </c>
      <c r="B3456" t="s">
        <v>3503</v>
      </c>
      <c r="C3456" t="str">
        <f>""</f>
        <v/>
      </c>
      <c r="D3456" t="str">
        <f>"9788021098558"</f>
        <v>9788021098558</v>
      </c>
      <c r="E3456" t="s">
        <v>3398</v>
      </c>
      <c r="F3456" s="1">
        <v>44013</v>
      </c>
    </row>
    <row r="3457" spans="1:6" x14ac:dyDescent="0.25">
      <c r="A3457">
        <v>6913615</v>
      </c>
      <c r="B3457" t="s">
        <v>3504</v>
      </c>
      <c r="C3457" t="str">
        <f>"9788021098640"</f>
        <v>9788021098640</v>
      </c>
      <c r="D3457" t="str">
        <f>"9788021098657"</f>
        <v>9788021098657</v>
      </c>
      <c r="E3457" t="s">
        <v>3398</v>
      </c>
      <c r="F3457" s="1">
        <v>44378</v>
      </c>
    </row>
    <row r="3458" spans="1:6" x14ac:dyDescent="0.25">
      <c r="A3458">
        <v>6913616</v>
      </c>
      <c r="B3458" t="s">
        <v>3505</v>
      </c>
      <c r="C3458" t="str">
        <f>""</f>
        <v/>
      </c>
      <c r="D3458" t="str">
        <f>"9788021098701"</f>
        <v>9788021098701</v>
      </c>
      <c r="E3458" t="s">
        <v>3398</v>
      </c>
      <c r="F3458" s="1">
        <v>44378</v>
      </c>
    </row>
    <row r="3459" spans="1:6" x14ac:dyDescent="0.25">
      <c r="A3459">
        <v>6913617</v>
      </c>
      <c r="B3459" t="s">
        <v>3506</v>
      </c>
      <c r="C3459" t="str">
        <f>""</f>
        <v/>
      </c>
      <c r="D3459" t="str">
        <f>"9788021098824"</f>
        <v>9788021098824</v>
      </c>
      <c r="E3459" t="s">
        <v>3398</v>
      </c>
      <c r="F3459" s="1">
        <v>44378</v>
      </c>
    </row>
    <row r="3460" spans="1:6" x14ac:dyDescent="0.25">
      <c r="A3460">
        <v>6913618</v>
      </c>
      <c r="B3460" t="s">
        <v>3507</v>
      </c>
      <c r="C3460" t="str">
        <f>""</f>
        <v/>
      </c>
      <c r="D3460" t="str">
        <f>"9788021098961"</f>
        <v>9788021098961</v>
      </c>
      <c r="E3460" t="s">
        <v>3398</v>
      </c>
      <c r="F3460" s="1">
        <v>44378</v>
      </c>
    </row>
    <row r="3461" spans="1:6" x14ac:dyDescent="0.25">
      <c r="A3461">
        <v>6913619</v>
      </c>
      <c r="B3461" t="s">
        <v>3508</v>
      </c>
      <c r="C3461" t="str">
        <f>""</f>
        <v/>
      </c>
      <c r="D3461" t="str">
        <f>"9788021099012"</f>
        <v>9788021099012</v>
      </c>
      <c r="E3461" t="s">
        <v>3398</v>
      </c>
      <c r="F3461" s="1">
        <v>44378</v>
      </c>
    </row>
    <row r="3462" spans="1:6" x14ac:dyDescent="0.25">
      <c r="A3462">
        <v>6913620</v>
      </c>
      <c r="B3462" t="s">
        <v>3509</v>
      </c>
      <c r="C3462" t="str">
        <f>"9788021099029"</f>
        <v>9788021099029</v>
      </c>
      <c r="D3462" t="str">
        <f>"9788021099036"</f>
        <v>9788021099036</v>
      </c>
      <c r="E3462" t="s">
        <v>3398</v>
      </c>
      <c r="F3462" s="1">
        <v>44378</v>
      </c>
    </row>
    <row r="3463" spans="1:6" x14ac:dyDescent="0.25">
      <c r="A3463">
        <v>6913621</v>
      </c>
      <c r="B3463" t="s">
        <v>3510</v>
      </c>
      <c r="C3463" t="str">
        <f>""</f>
        <v/>
      </c>
      <c r="D3463" t="str">
        <f>"9788021099050"</f>
        <v>9788021099050</v>
      </c>
      <c r="E3463" t="s">
        <v>3398</v>
      </c>
      <c r="F3463" s="1">
        <v>44378</v>
      </c>
    </row>
    <row r="3464" spans="1:6" x14ac:dyDescent="0.25">
      <c r="A3464">
        <v>6913622</v>
      </c>
      <c r="B3464" t="s">
        <v>3433</v>
      </c>
      <c r="C3464" t="str">
        <f>""</f>
        <v/>
      </c>
      <c r="D3464" t="str">
        <f>"9788021099067"</f>
        <v>9788021099067</v>
      </c>
      <c r="E3464" t="s">
        <v>3398</v>
      </c>
      <c r="F3464" s="1">
        <v>44378</v>
      </c>
    </row>
    <row r="3465" spans="1:6" x14ac:dyDescent="0.25">
      <c r="A3465">
        <v>6913623</v>
      </c>
      <c r="B3465" t="s">
        <v>3511</v>
      </c>
      <c r="C3465" t="str">
        <f>"9788021099098"</f>
        <v>9788021099098</v>
      </c>
      <c r="D3465" t="str">
        <f>"9788021099104"</f>
        <v>9788021099104</v>
      </c>
      <c r="E3465" t="s">
        <v>3398</v>
      </c>
      <c r="F3465" s="1">
        <v>44378</v>
      </c>
    </row>
    <row r="3466" spans="1:6" x14ac:dyDescent="0.25">
      <c r="A3466">
        <v>6913624</v>
      </c>
      <c r="B3466" t="s">
        <v>3512</v>
      </c>
      <c r="C3466" t="str">
        <f>""</f>
        <v/>
      </c>
      <c r="D3466" t="str">
        <f>"9788021099111"</f>
        <v>9788021099111</v>
      </c>
      <c r="E3466" t="s">
        <v>3398</v>
      </c>
      <c r="F3466" s="1">
        <v>44378</v>
      </c>
    </row>
    <row r="3467" spans="1:6" x14ac:dyDescent="0.25">
      <c r="A3467">
        <v>6913626</v>
      </c>
      <c r="B3467" t="s">
        <v>3513</v>
      </c>
      <c r="C3467" t="str">
        <f>"9788021099135"</f>
        <v>9788021099135</v>
      </c>
      <c r="D3467" t="str">
        <f>"9788021099142"</f>
        <v>9788021099142</v>
      </c>
      <c r="E3467" t="s">
        <v>3398</v>
      </c>
      <c r="F3467" s="1">
        <v>44378</v>
      </c>
    </row>
    <row r="3468" spans="1:6" x14ac:dyDescent="0.25">
      <c r="A3468">
        <v>6913627</v>
      </c>
      <c r="B3468" t="s">
        <v>3514</v>
      </c>
      <c r="C3468" t="str">
        <f>""</f>
        <v/>
      </c>
      <c r="D3468" t="str">
        <f>"9788021099203"</f>
        <v>9788021099203</v>
      </c>
      <c r="E3468" t="s">
        <v>3398</v>
      </c>
      <c r="F3468" s="1">
        <v>44378</v>
      </c>
    </row>
    <row r="3469" spans="1:6" x14ac:dyDescent="0.25">
      <c r="A3469">
        <v>6913628</v>
      </c>
      <c r="B3469" t="s">
        <v>3515</v>
      </c>
      <c r="C3469" t="str">
        <f>""</f>
        <v/>
      </c>
      <c r="D3469" t="str">
        <f>"9788021099272"</f>
        <v>9788021099272</v>
      </c>
      <c r="E3469" t="s">
        <v>3398</v>
      </c>
      <c r="F3469" s="1">
        <v>44378</v>
      </c>
    </row>
    <row r="3470" spans="1:6" x14ac:dyDescent="0.25">
      <c r="A3470">
        <v>6913629</v>
      </c>
      <c r="B3470" t="s">
        <v>3516</v>
      </c>
      <c r="C3470" t="str">
        <f>""</f>
        <v/>
      </c>
      <c r="D3470" t="str">
        <f>"9788021099302"</f>
        <v>9788021099302</v>
      </c>
      <c r="E3470" t="s">
        <v>3398</v>
      </c>
      <c r="F3470" s="1">
        <v>44013</v>
      </c>
    </row>
    <row r="3471" spans="1:6" x14ac:dyDescent="0.25">
      <c r="A3471">
        <v>6913630</v>
      </c>
      <c r="B3471" t="s">
        <v>3517</v>
      </c>
      <c r="C3471" t="str">
        <f>"9788021099395"</f>
        <v>9788021099395</v>
      </c>
      <c r="D3471" t="str">
        <f>"9788021099401"</f>
        <v>9788021099401</v>
      </c>
      <c r="E3471" t="s">
        <v>3398</v>
      </c>
      <c r="F3471" s="1">
        <v>44378</v>
      </c>
    </row>
    <row r="3472" spans="1:6" x14ac:dyDescent="0.25">
      <c r="A3472">
        <v>6913631</v>
      </c>
      <c r="B3472" t="s">
        <v>3518</v>
      </c>
      <c r="C3472" t="str">
        <f>"9788021099562"</f>
        <v>9788021099562</v>
      </c>
      <c r="D3472" t="str">
        <f>"9788021099579"</f>
        <v>9788021099579</v>
      </c>
      <c r="E3472" t="s">
        <v>3398</v>
      </c>
      <c r="F3472" s="1">
        <v>44378</v>
      </c>
    </row>
    <row r="3473" spans="1:6" x14ac:dyDescent="0.25">
      <c r="A3473">
        <v>6913632</v>
      </c>
      <c r="B3473" t="s">
        <v>3519</v>
      </c>
      <c r="C3473" t="str">
        <f>"9788021099739"</f>
        <v>9788021099739</v>
      </c>
      <c r="D3473" t="str">
        <f>"9788021099746"</f>
        <v>9788021099746</v>
      </c>
      <c r="E3473" t="s">
        <v>3398</v>
      </c>
      <c r="F3473" s="1">
        <v>44378</v>
      </c>
    </row>
    <row r="3474" spans="1:6" x14ac:dyDescent="0.25">
      <c r="A3474">
        <v>6913633</v>
      </c>
      <c r="B3474" t="s">
        <v>3520</v>
      </c>
      <c r="C3474" t="str">
        <f>"9788021099821"</f>
        <v>9788021099821</v>
      </c>
      <c r="D3474" t="str">
        <f>"9788021099838"</f>
        <v>9788021099838</v>
      </c>
      <c r="E3474" t="s">
        <v>3398</v>
      </c>
      <c r="F3474" s="1">
        <v>44378</v>
      </c>
    </row>
    <row r="3475" spans="1:6" x14ac:dyDescent="0.25">
      <c r="A3475">
        <v>6913634</v>
      </c>
      <c r="B3475" t="s">
        <v>3521</v>
      </c>
      <c r="C3475" t="str">
        <f>"9788021099913"</f>
        <v>9788021099913</v>
      </c>
      <c r="D3475" t="str">
        <f>"9788021099920"</f>
        <v>9788021099920</v>
      </c>
      <c r="E3475" t="s">
        <v>3398</v>
      </c>
      <c r="F3475" s="1">
        <v>44378</v>
      </c>
    </row>
    <row r="3476" spans="1:6" x14ac:dyDescent="0.25">
      <c r="A3476">
        <v>6913635</v>
      </c>
      <c r="B3476" t="s">
        <v>3522</v>
      </c>
      <c r="C3476" t="str">
        <f>"9788021099944"</f>
        <v>9788021099944</v>
      </c>
      <c r="D3476" t="str">
        <f>"9788021099951"</f>
        <v>9788021099951</v>
      </c>
      <c r="E3476" t="s">
        <v>3398</v>
      </c>
      <c r="F3476" s="1">
        <v>44378</v>
      </c>
    </row>
    <row r="3477" spans="1:6" x14ac:dyDescent="0.25">
      <c r="A3477">
        <v>6913636</v>
      </c>
      <c r="B3477" t="s">
        <v>3523</v>
      </c>
      <c r="C3477" t="str">
        <f>""</f>
        <v/>
      </c>
      <c r="D3477" t="str">
        <f>"9788021099975"</f>
        <v>9788021099975</v>
      </c>
      <c r="E3477" t="s">
        <v>3398</v>
      </c>
      <c r="F3477" s="1">
        <v>44378</v>
      </c>
    </row>
    <row r="3478" spans="1:6" x14ac:dyDescent="0.25">
      <c r="A3478">
        <v>6913637</v>
      </c>
      <c r="B3478" t="s">
        <v>3524</v>
      </c>
      <c r="C3478" t="str">
        <f>""</f>
        <v/>
      </c>
      <c r="D3478" t="str">
        <f>"9788021099982"</f>
        <v>9788021099982</v>
      </c>
      <c r="E3478" t="s">
        <v>3398</v>
      </c>
      <c r="F3478" s="1">
        <v>44378</v>
      </c>
    </row>
    <row r="3479" spans="1:6" x14ac:dyDescent="0.25">
      <c r="A3479">
        <v>6913673</v>
      </c>
      <c r="B3479" t="s">
        <v>3525</v>
      </c>
      <c r="C3479" t="str">
        <f>"9789811680854"</f>
        <v>9789811680854</v>
      </c>
      <c r="D3479" t="str">
        <f>"9789811680861"</f>
        <v>9789811680861</v>
      </c>
      <c r="E3479" t="s">
        <v>1177</v>
      </c>
      <c r="F3479" s="1">
        <v>44626</v>
      </c>
    </row>
    <row r="3480" spans="1:6" x14ac:dyDescent="0.25">
      <c r="A3480">
        <v>6913842</v>
      </c>
      <c r="B3480" t="s">
        <v>3526</v>
      </c>
      <c r="C3480" t="str">
        <f>""</f>
        <v/>
      </c>
      <c r="D3480" t="str">
        <f>"9781789061963"</f>
        <v>9781789061963</v>
      </c>
      <c r="E3480" t="s">
        <v>570</v>
      </c>
      <c r="F3480" s="1">
        <v>44211</v>
      </c>
    </row>
    <row r="3481" spans="1:6" x14ac:dyDescent="0.25">
      <c r="A3481">
        <v>6913843</v>
      </c>
      <c r="B3481" t="s">
        <v>3527</v>
      </c>
      <c r="C3481" t="str">
        <f>"9781789060751"</f>
        <v>9781789060751</v>
      </c>
      <c r="D3481" t="str">
        <f>"9781789060768"</f>
        <v>9781789060768</v>
      </c>
      <c r="E3481" t="s">
        <v>570</v>
      </c>
      <c r="F3481" s="1">
        <v>44180</v>
      </c>
    </row>
    <row r="3482" spans="1:6" x14ac:dyDescent="0.25">
      <c r="A3482">
        <v>6914946</v>
      </c>
      <c r="B3482" t="s">
        <v>3528</v>
      </c>
      <c r="C3482" t="str">
        <f>"9783030861858"</f>
        <v>9783030861858</v>
      </c>
      <c r="D3482" t="str">
        <f>"9783030861865"</f>
        <v>9783030861865</v>
      </c>
      <c r="E3482" t="s">
        <v>756</v>
      </c>
      <c r="F3482" s="1">
        <v>44660</v>
      </c>
    </row>
    <row r="3483" spans="1:6" x14ac:dyDescent="0.25">
      <c r="A3483">
        <v>6914960</v>
      </c>
      <c r="B3483" t="s">
        <v>3529</v>
      </c>
      <c r="C3483" t="str">
        <f>"9783030919702"</f>
        <v>9783030919702</v>
      </c>
      <c r="D3483" t="str">
        <f>"9783030919719"</f>
        <v>9783030919719</v>
      </c>
      <c r="E3483" t="s">
        <v>756</v>
      </c>
      <c r="F3483" s="1">
        <v>44690</v>
      </c>
    </row>
    <row r="3484" spans="1:6" x14ac:dyDescent="0.25">
      <c r="A3484">
        <v>6915684</v>
      </c>
      <c r="B3484" t="s">
        <v>3530</v>
      </c>
      <c r="C3484" t="str">
        <f>""</f>
        <v/>
      </c>
      <c r="D3484" t="str">
        <f>"9782759233113"</f>
        <v>9782759233113</v>
      </c>
      <c r="E3484" t="s">
        <v>626</v>
      </c>
      <c r="F3484" s="1">
        <v>44630</v>
      </c>
    </row>
    <row r="3485" spans="1:6" x14ac:dyDescent="0.25">
      <c r="A3485">
        <v>6915747</v>
      </c>
      <c r="B3485" t="s">
        <v>3531</v>
      </c>
      <c r="C3485" t="str">
        <f>"9783030860233"</f>
        <v>9783030860233</v>
      </c>
      <c r="D3485" t="str">
        <f>"9783030860240"</f>
        <v>9783030860240</v>
      </c>
      <c r="E3485" t="s">
        <v>756</v>
      </c>
      <c r="F3485" s="1">
        <v>44629</v>
      </c>
    </row>
    <row r="3486" spans="1:6" x14ac:dyDescent="0.25">
      <c r="A3486">
        <v>6915748</v>
      </c>
      <c r="B3486" t="s">
        <v>3532</v>
      </c>
      <c r="C3486" t="str">
        <f>"9783658367039"</f>
        <v>9783658367039</v>
      </c>
      <c r="D3486" t="str">
        <f>"9783658367046"</f>
        <v>9783658367046</v>
      </c>
      <c r="E3486" t="s">
        <v>1391</v>
      </c>
      <c r="F3486" s="1">
        <v>44629</v>
      </c>
    </row>
    <row r="3487" spans="1:6" x14ac:dyDescent="0.25">
      <c r="A3487">
        <v>6916284</v>
      </c>
      <c r="B3487" t="s">
        <v>3533</v>
      </c>
      <c r="C3487" t="str">
        <f>""</f>
        <v/>
      </c>
      <c r="D3487" t="str">
        <f>"9781800100473"</f>
        <v>9781800100473</v>
      </c>
      <c r="E3487" t="s">
        <v>3534</v>
      </c>
      <c r="F3487" s="1">
        <v>44119</v>
      </c>
    </row>
    <row r="3488" spans="1:6" x14ac:dyDescent="0.25">
      <c r="A3488">
        <v>6916285</v>
      </c>
      <c r="B3488" t="s">
        <v>3535</v>
      </c>
      <c r="C3488" t="str">
        <f>""</f>
        <v/>
      </c>
      <c r="D3488" t="str">
        <f>"9781800101050"</f>
        <v>9781800101050</v>
      </c>
      <c r="E3488" t="s">
        <v>3534</v>
      </c>
      <c r="F3488" s="1">
        <v>44064</v>
      </c>
    </row>
    <row r="3489" spans="1:6" x14ac:dyDescent="0.25">
      <c r="A3489">
        <v>6916340</v>
      </c>
      <c r="B3489" t="s">
        <v>3536</v>
      </c>
      <c r="C3489" t="str">
        <f>"9783030827663"</f>
        <v>9783030827663</v>
      </c>
      <c r="D3489" t="str">
        <f>"9783030827670"</f>
        <v>9783030827670</v>
      </c>
      <c r="E3489" t="s">
        <v>756</v>
      </c>
      <c r="F3489" s="1">
        <v>44630</v>
      </c>
    </row>
    <row r="3490" spans="1:6" x14ac:dyDescent="0.25">
      <c r="A3490">
        <v>6916353</v>
      </c>
      <c r="B3490" t="s">
        <v>3537</v>
      </c>
      <c r="C3490" t="str">
        <f>"9783030920913"</f>
        <v>9783030920913</v>
      </c>
      <c r="D3490" t="str">
        <f>"9783030920920"</f>
        <v>9783030920920</v>
      </c>
      <c r="E3490" t="s">
        <v>756</v>
      </c>
      <c r="F3490" s="1">
        <v>44630</v>
      </c>
    </row>
    <row r="3491" spans="1:6" x14ac:dyDescent="0.25">
      <c r="A3491">
        <v>6921720</v>
      </c>
      <c r="B3491" t="s">
        <v>3538</v>
      </c>
      <c r="C3491" t="str">
        <f>"9783030932084"</f>
        <v>9783030932084</v>
      </c>
      <c r="D3491" t="str">
        <f>"9783030932091"</f>
        <v>9783030932091</v>
      </c>
      <c r="E3491" t="s">
        <v>756</v>
      </c>
      <c r="F3491" s="1">
        <v>44651</v>
      </c>
    </row>
    <row r="3492" spans="1:6" x14ac:dyDescent="0.25">
      <c r="A3492">
        <v>6921798</v>
      </c>
      <c r="B3492" t="s">
        <v>3539</v>
      </c>
      <c r="C3492" t="str">
        <f>"9783658344900"</f>
        <v>9783658344900</v>
      </c>
      <c r="D3492" t="str">
        <f>"9783658344917"</f>
        <v>9783658344917</v>
      </c>
      <c r="E3492" t="s">
        <v>1391</v>
      </c>
      <c r="F3492" s="1">
        <v>44680</v>
      </c>
    </row>
    <row r="3493" spans="1:6" x14ac:dyDescent="0.25">
      <c r="A3493">
        <v>6921808</v>
      </c>
      <c r="B3493" t="s">
        <v>3540</v>
      </c>
      <c r="C3493" t="str">
        <f>""</f>
        <v/>
      </c>
      <c r="D3493" t="str">
        <f>"9789179291358"</f>
        <v>9789179291358</v>
      </c>
      <c r="E3493" t="s">
        <v>1268</v>
      </c>
      <c r="F3493" s="1">
        <v>44631</v>
      </c>
    </row>
    <row r="3494" spans="1:6" x14ac:dyDescent="0.25">
      <c r="A3494">
        <v>6921832</v>
      </c>
      <c r="B3494" t="s">
        <v>3541</v>
      </c>
      <c r="C3494" t="str">
        <f>"9783030944957"</f>
        <v>9783030944957</v>
      </c>
      <c r="D3494" t="str">
        <f>"9783030944964"</f>
        <v>9783030944964</v>
      </c>
      <c r="E3494" t="s">
        <v>756</v>
      </c>
      <c r="F3494" s="1">
        <v>44676</v>
      </c>
    </row>
    <row r="3495" spans="1:6" x14ac:dyDescent="0.25">
      <c r="A3495">
        <v>6925883</v>
      </c>
      <c r="B3495" t="s">
        <v>3542</v>
      </c>
      <c r="C3495" t="str">
        <f>"9783658371029"</f>
        <v>9783658371029</v>
      </c>
      <c r="D3495" t="str">
        <f>"9783658371036"</f>
        <v>9783658371036</v>
      </c>
      <c r="E3495" t="s">
        <v>1391</v>
      </c>
      <c r="F3495" s="1">
        <v>44678</v>
      </c>
    </row>
    <row r="3496" spans="1:6" x14ac:dyDescent="0.25">
      <c r="A3496">
        <v>6925889</v>
      </c>
      <c r="B3496" t="s">
        <v>3543</v>
      </c>
      <c r="C3496" t="str">
        <f>"9789811907623"</f>
        <v>9789811907623</v>
      </c>
      <c r="D3496" t="str">
        <f>"9789811907630"</f>
        <v>9789811907630</v>
      </c>
      <c r="E3496" t="s">
        <v>1177</v>
      </c>
      <c r="F3496" s="1">
        <v>44635</v>
      </c>
    </row>
    <row r="3497" spans="1:6" x14ac:dyDescent="0.25">
      <c r="A3497">
        <v>6925890</v>
      </c>
      <c r="B3497" t="s">
        <v>3544</v>
      </c>
      <c r="C3497" t="str">
        <f>"9783030858162"</f>
        <v>9783030858162</v>
      </c>
      <c r="D3497" t="str">
        <f>"9783030858179"</f>
        <v>9783030858179</v>
      </c>
      <c r="E3497" t="s">
        <v>756</v>
      </c>
      <c r="F3497" s="1">
        <v>44653</v>
      </c>
    </row>
    <row r="3498" spans="1:6" x14ac:dyDescent="0.25">
      <c r="A3498">
        <v>6926681</v>
      </c>
      <c r="B3498" t="s">
        <v>3545</v>
      </c>
      <c r="C3498" t="str">
        <f>"9781478001928"</f>
        <v>9781478001928</v>
      </c>
      <c r="D3498" t="str">
        <f>"9781478090083"</f>
        <v>9781478090083</v>
      </c>
      <c r="E3498" t="s">
        <v>174</v>
      </c>
      <c r="F3498" s="1">
        <v>43882</v>
      </c>
    </row>
    <row r="3499" spans="1:6" x14ac:dyDescent="0.25">
      <c r="A3499">
        <v>6927289</v>
      </c>
      <c r="B3499" t="s">
        <v>3546</v>
      </c>
      <c r="C3499" t="str">
        <f>"9783030921392"</f>
        <v>9783030921392</v>
      </c>
      <c r="D3499" t="str">
        <f>"9783030921408"</f>
        <v>9783030921408</v>
      </c>
      <c r="E3499" t="s">
        <v>756</v>
      </c>
      <c r="F3499" s="1">
        <v>44676</v>
      </c>
    </row>
    <row r="3500" spans="1:6" x14ac:dyDescent="0.25">
      <c r="A3500">
        <v>6927290</v>
      </c>
      <c r="B3500" t="s">
        <v>3547</v>
      </c>
      <c r="C3500" t="str">
        <f>"9781478015550"</f>
        <v>9781478015550</v>
      </c>
      <c r="D3500" t="str">
        <f>"9781478092582"</f>
        <v>9781478092582</v>
      </c>
      <c r="E3500" t="s">
        <v>174</v>
      </c>
      <c r="F3500" s="1">
        <v>44701</v>
      </c>
    </row>
    <row r="3501" spans="1:6" x14ac:dyDescent="0.25">
      <c r="A3501">
        <v>6927300</v>
      </c>
      <c r="B3501" t="s">
        <v>3548</v>
      </c>
      <c r="C3501" t="str">
        <f>"9789811679445"</f>
        <v>9789811679445</v>
      </c>
      <c r="D3501" t="str">
        <f>"9789811679452"</f>
        <v>9789811679452</v>
      </c>
      <c r="E3501" t="s">
        <v>1177</v>
      </c>
      <c r="F3501" s="1">
        <v>44636</v>
      </c>
    </row>
    <row r="3502" spans="1:6" x14ac:dyDescent="0.25">
      <c r="A3502">
        <v>6927304</v>
      </c>
      <c r="B3502" t="s">
        <v>3549</v>
      </c>
      <c r="C3502" t="str">
        <f>"9783030949716"</f>
        <v>9783030949716</v>
      </c>
      <c r="D3502" t="str">
        <f>"9783030949723"</f>
        <v>9783030949723</v>
      </c>
      <c r="E3502" t="s">
        <v>756</v>
      </c>
      <c r="F3502" s="1">
        <v>44668</v>
      </c>
    </row>
    <row r="3503" spans="1:6" x14ac:dyDescent="0.25">
      <c r="A3503">
        <v>6927308</v>
      </c>
      <c r="B3503" t="s">
        <v>3550</v>
      </c>
      <c r="C3503" t="str">
        <f>"9783662640838"</f>
        <v>9783662640838</v>
      </c>
      <c r="D3503" t="str">
        <f>"9783662640845"</f>
        <v>9783662640845</v>
      </c>
      <c r="E3503" t="s">
        <v>1852</v>
      </c>
      <c r="F3503" s="1">
        <v>44668</v>
      </c>
    </row>
    <row r="3504" spans="1:6" x14ac:dyDescent="0.25">
      <c r="A3504">
        <v>6927309</v>
      </c>
      <c r="B3504" t="s">
        <v>3551</v>
      </c>
      <c r="C3504" t="str">
        <f>"9789811697968"</f>
        <v>9789811697968</v>
      </c>
      <c r="D3504" t="str">
        <f>"9789811697975"</f>
        <v>9789811697975</v>
      </c>
      <c r="E3504" t="s">
        <v>1177</v>
      </c>
      <c r="F3504" s="1">
        <v>44668</v>
      </c>
    </row>
    <row r="3505" spans="1:6" x14ac:dyDescent="0.25">
      <c r="A3505">
        <v>6931077</v>
      </c>
      <c r="B3505" t="s">
        <v>3552</v>
      </c>
      <c r="C3505" t="str">
        <f>""</f>
        <v/>
      </c>
      <c r="D3505" t="str">
        <f>"9789179291563"</f>
        <v>9789179291563</v>
      </c>
      <c r="E3505" t="s">
        <v>1268</v>
      </c>
      <c r="F3505" s="1">
        <v>44588</v>
      </c>
    </row>
    <row r="3506" spans="1:6" x14ac:dyDescent="0.25">
      <c r="A3506">
        <v>6935182</v>
      </c>
      <c r="B3506" t="s">
        <v>3553</v>
      </c>
      <c r="C3506" t="str">
        <f>"9781800643574"</f>
        <v>9781800643574</v>
      </c>
      <c r="D3506" t="str">
        <f>"9781800643581"</f>
        <v>9781800643581</v>
      </c>
      <c r="E3506" t="s">
        <v>580</v>
      </c>
      <c r="F3506" s="1">
        <v>44637</v>
      </c>
    </row>
    <row r="3507" spans="1:6" x14ac:dyDescent="0.25">
      <c r="A3507">
        <v>6935556</v>
      </c>
      <c r="B3507" t="s">
        <v>3554</v>
      </c>
      <c r="C3507" t="str">
        <f>"9783658361921"</f>
        <v>9783658361921</v>
      </c>
      <c r="D3507" t="str">
        <f>"9783658361938"</f>
        <v>9783658361938</v>
      </c>
      <c r="E3507" t="s">
        <v>1391</v>
      </c>
      <c r="F3507" s="1">
        <v>44643</v>
      </c>
    </row>
    <row r="3508" spans="1:6" x14ac:dyDescent="0.25">
      <c r="A3508">
        <v>6938742</v>
      </c>
      <c r="B3508" t="s">
        <v>3555</v>
      </c>
      <c r="C3508" t="str">
        <f>"9783030985806"</f>
        <v>9783030985806</v>
      </c>
      <c r="D3508" t="str">
        <f>"9783030985813"</f>
        <v>9783030985813</v>
      </c>
      <c r="E3508" t="s">
        <v>756</v>
      </c>
      <c r="F3508" s="1">
        <v>44675</v>
      </c>
    </row>
    <row r="3509" spans="1:6" x14ac:dyDescent="0.25">
      <c r="A3509">
        <v>6938761</v>
      </c>
      <c r="B3509" t="s">
        <v>3556</v>
      </c>
      <c r="C3509" t="str">
        <f>"9783030892883"</f>
        <v>9783030892883</v>
      </c>
      <c r="D3509" t="str">
        <f>"9783030892890"</f>
        <v>9783030892890</v>
      </c>
      <c r="E3509" t="s">
        <v>756</v>
      </c>
      <c r="F3509" s="1">
        <v>44675</v>
      </c>
    </row>
    <row r="3510" spans="1:6" x14ac:dyDescent="0.25">
      <c r="A3510">
        <v>6938770</v>
      </c>
      <c r="B3510" t="s">
        <v>3557</v>
      </c>
      <c r="C3510" t="str">
        <f>"9789811902796"</f>
        <v>9789811902796</v>
      </c>
      <c r="D3510" t="str">
        <f>"9789811902802"</f>
        <v>9789811902802</v>
      </c>
      <c r="E3510" t="s">
        <v>1177</v>
      </c>
      <c r="F3510" s="1">
        <v>44643</v>
      </c>
    </row>
    <row r="3511" spans="1:6" x14ac:dyDescent="0.25">
      <c r="A3511">
        <v>6939387</v>
      </c>
      <c r="B3511" t="s">
        <v>3558</v>
      </c>
      <c r="C3511" t="str">
        <f>"9783030925765"</f>
        <v>9783030925765</v>
      </c>
      <c r="D3511" t="str">
        <f>"9783030925772"</f>
        <v>9783030925772</v>
      </c>
      <c r="E3511" t="s">
        <v>756</v>
      </c>
      <c r="F3511" s="1">
        <v>44679</v>
      </c>
    </row>
    <row r="3512" spans="1:6" x14ac:dyDescent="0.25">
      <c r="A3512">
        <v>6939908</v>
      </c>
      <c r="B3512" t="s">
        <v>3559</v>
      </c>
      <c r="C3512" t="str">
        <f>"9781607329473"</f>
        <v>9781607329473</v>
      </c>
      <c r="D3512" t="str">
        <f>"9781607329558"</f>
        <v>9781607329558</v>
      </c>
      <c r="E3512" t="s">
        <v>422</v>
      </c>
      <c r="F3512" s="1">
        <v>43784</v>
      </c>
    </row>
    <row r="3513" spans="1:6" x14ac:dyDescent="0.25">
      <c r="A3513">
        <v>6939946</v>
      </c>
      <c r="B3513" t="s">
        <v>3560</v>
      </c>
      <c r="C3513" t="str">
        <f>""</f>
        <v/>
      </c>
      <c r="D3513" t="str">
        <f>"9788366675391"</f>
        <v>9788366675391</v>
      </c>
      <c r="E3513" t="s">
        <v>73</v>
      </c>
      <c r="F3513" s="1">
        <v>44382</v>
      </c>
    </row>
    <row r="3514" spans="1:6" x14ac:dyDescent="0.25">
      <c r="A3514">
        <v>6940021</v>
      </c>
      <c r="B3514" t="s">
        <v>3561</v>
      </c>
      <c r="C3514" t="str">
        <f>"9783658367534"</f>
        <v>9783658367534</v>
      </c>
      <c r="D3514" t="str">
        <f>"9783658367541"</f>
        <v>9783658367541</v>
      </c>
      <c r="E3514" t="s">
        <v>1391</v>
      </c>
      <c r="F3514" s="1">
        <v>44685</v>
      </c>
    </row>
    <row r="3515" spans="1:6" x14ac:dyDescent="0.25">
      <c r="A3515">
        <v>6940041</v>
      </c>
      <c r="B3515" t="s">
        <v>3562</v>
      </c>
      <c r="C3515" t="str">
        <f>""</f>
        <v/>
      </c>
      <c r="D3515" t="str">
        <f>"9789179292713"</f>
        <v>9789179292713</v>
      </c>
      <c r="E3515" t="s">
        <v>1268</v>
      </c>
      <c r="F3515" s="1">
        <v>44635</v>
      </c>
    </row>
    <row r="3516" spans="1:6" x14ac:dyDescent="0.25">
      <c r="A3516">
        <v>6940043</v>
      </c>
      <c r="B3516" t="s">
        <v>3563</v>
      </c>
      <c r="C3516" t="str">
        <f>""</f>
        <v/>
      </c>
      <c r="D3516" t="str">
        <f>"9789179291938"</f>
        <v>9789179291938</v>
      </c>
      <c r="E3516" t="s">
        <v>1268</v>
      </c>
      <c r="F3516" s="1">
        <v>44571</v>
      </c>
    </row>
    <row r="3517" spans="1:6" x14ac:dyDescent="0.25">
      <c r="A3517">
        <v>6940133</v>
      </c>
      <c r="B3517" t="s">
        <v>3564</v>
      </c>
      <c r="C3517" t="str">
        <f>"9783658368265"</f>
        <v>9783658368265</v>
      </c>
      <c r="D3517" t="str">
        <f>"9783658368272"</f>
        <v>9783658368272</v>
      </c>
      <c r="E3517" t="s">
        <v>1391</v>
      </c>
      <c r="F3517" s="1">
        <v>44649</v>
      </c>
    </row>
    <row r="3518" spans="1:6" x14ac:dyDescent="0.25">
      <c r="A3518">
        <v>6940169</v>
      </c>
      <c r="B3518" t="s">
        <v>3565</v>
      </c>
      <c r="C3518" t="str">
        <f>""</f>
        <v/>
      </c>
      <c r="D3518" t="str">
        <f>"9781644698846"</f>
        <v>9781644698846</v>
      </c>
      <c r="E3518" t="s">
        <v>514</v>
      </c>
      <c r="F3518" s="1">
        <v>44656</v>
      </c>
    </row>
    <row r="3519" spans="1:6" x14ac:dyDescent="0.25">
      <c r="A3519">
        <v>6940459</v>
      </c>
      <c r="B3519" t="s">
        <v>3566</v>
      </c>
      <c r="C3519" t="str">
        <f>"9783030806453"</f>
        <v>9783030806453</v>
      </c>
      <c r="D3519" t="str">
        <f>"9783030806460"</f>
        <v>9783030806460</v>
      </c>
      <c r="E3519" t="s">
        <v>756</v>
      </c>
      <c r="F3519" s="1">
        <v>44665</v>
      </c>
    </row>
    <row r="3520" spans="1:6" x14ac:dyDescent="0.25">
      <c r="A3520">
        <v>6940978</v>
      </c>
      <c r="B3520" t="s">
        <v>3567</v>
      </c>
      <c r="C3520" t="str">
        <f>"9781438488035"</f>
        <v>9781438488035</v>
      </c>
      <c r="D3520" t="str">
        <f>"9781438488059"</f>
        <v>9781438488059</v>
      </c>
      <c r="E3520" t="s">
        <v>684</v>
      </c>
      <c r="F3520" s="1">
        <v>44652</v>
      </c>
    </row>
    <row r="3521" spans="1:6" x14ac:dyDescent="0.25">
      <c r="A3521">
        <v>6941355</v>
      </c>
      <c r="B3521" t="s">
        <v>3568</v>
      </c>
      <c r="C3521" t="str">
        <f>"9783030994280"</f>
        <v>9783030994280</v>
      </c>
      <c r="D3521" t="str">
        <f>"9783030994297"</f>
        <v>9783030994297</v>
      </c>
      <c r="E3521" t="s">
        <v>756</v>
      </c>
      <c r="F3521" s="1">
        <v>44686</v>
      </c>
    </row>
    <row r="3522" spans="1:6" x14ac:dyDescent="0.25">
      <c r="A3522">
        <v>6941372</v>
      </c>
      <c r="B3522" t="s">
        <v>3569</v>
      </c>
      <c r="C3522" t="str">
        <f>"9783030993351"</f>
        <v>9783030993351</v>
      </c>
      <c r="D3522" t="str">
        <f>"9783030993368"</f>
        <v>9783030993368</v>
      </c>
      <c r="E3522" t="s">
        <v>756</v>
      </c>
      <c r="F3522" s="1">
        <v>44683</v>
      </c>
    </row>
    <row r="3523" spans="1:6" x14ac:dyDescent="0.25">
      <c r="A3523">
        <v>6942704</v>
      </c>
      <c r="B3523" t="s">
        <v>3570</v>
      </c>
      <c r="C3523" t="str">
        <f>"9783030992521"</f>
        <v>9783030992521</v>
      </c>
      <c r="D3523" t="str">
        <f>"9783030992538"</f>
        <v>9783030992538</v>
      </c>
      <c r="E3523" t="s">
        <v>756</v>
      </c>
      <c r="F3523" s="1">
        <v>44681</v>
      </c>
    </row>
    <row r="3524" spans="1:6" x14ac:dyDescent="0.25">
      <c r="A3524">
        <v>6942717</v>
      </c>
      <c r="B3524" t="s">
        <v>3571</v>
      </c>
      <c r="C3524" t="str">
        <f>"9783030995232"</f>
        <v>9783030995232</v>
      </c>
      <c r="D3524" t="str">
        <f>"9783030995249"</f>
        <v>9783030995249</v>
      </c>
      <c r="E3524" t="s">
        <v>756</v>
      </c>
      <c r="F3524" s="1">
        <v>44686</v>
      </c>
    </row>
    <row r="3525" spans="1:6" x14ac:dyDescent="0.25">
      <c r="A3525">
        <v>6942718</v>
      </c>
      <c r="B3525" t="s">
        <v>3572</v>
      </c>
      <c r="C3525" t="str">
        <f>"9783030926113"</f>
        <v>9783030926113</v>
      </c>
      <c r="D3525" t="str">
        <f>"9783030926120"</f>
        <v>9783030926120</v>
      </c>
      <c r="E3525" t="s">
        <v>756</v>
      </c>
      <c r="F3525" s="1">
        <v>44683</v>
      </c>
    </row>
    <row r="3526" spans="1:6" x14ac:dyDescent="0.25">
      <c r="A3526">
        <v>6942731</v>
      </c>
      <c r="B3526" t="s">
        <v>3573</v>
      </c>
      <c r="C3526" t="str">
        <f>"9783030995263"</f>
        <v>9783030995263</v>
      </c>
      <c r="D3526" t="str">
        <f>"9783030995270"</f>
        <v>9783030995270</v>
      </c>
      <c r="E3526" t="s">
        <v>756</v>
      </c>
      <c r="F3526" s="1">
        <v>44650</v>
      </c>
    </row>
    <row r="3527" spans="1:6" x14ac:dyDescent="0.25">
      <c r="A3527">
        <v>6943625</v>
      </c>
      <c r="B3527" t="s">
        <v>3574</v>
      </c>
      <c r="C3527" t="str">
        <f>"9783030964115"</f>
        <v>9783030964115</v>
      </c>
      <c r="D3527" t="str">
        <f>"9783030964122"</f>
        <v>9783030964122</v>
      </c>
      <c r="E3527" t="s">
        <v>756</v>
      </c>
      <c r="F3527" s="1">
        <v>44682</v>
      </c>
    </row>
    <row r="3528" spans="1:6" x14ac:dyDescent="0.25">
      <c r="A3528">
        <v>6944353</v>
      </c>
      <c r="B3528" t="s">
        <v>3575</v>
      </c>
      <c r="C3528" t="str">
        <f>"9783030919580"</f>
        <v>9783030919580</v>
      </c>
      <c r="D3528" t="str">
        <f>"9783030919597"</f>
        <v>9783030919597</v>
      </c>
      <c r="E3528" t="s">
        <v>756</v>
      </c>
      <c r="F3528" s="1">
        <v>44653</v>
      </c>
    </row>
    <row r="3529" spans="1:6" x14ac:dyDescent="0.25">
      <c r="A3529">
        <v>6944375</v>
      </c>
      <c r="B3529" t="s">
        <v>3576</v>
      </c>
      <c r="C3529" t="str">
        <f>"9783658366186"</f>
        <v>9783658366186</v>
      </c>
      <c r="D3529" t="str">
        <f>"9783658366193"</f>
        <v>9783658366193</v>
      </c>
      <c r="E3529" t="s">
        <v>1391</v>
      </c>
      <c r="F3529" s="1">
        <v>44705</v>
      </c>
    </row>
    <row r="3530" spans="1:6" x14ac:dyDescent="0.25">
      <c r="A3530">
        <v>6944403</v>
      </c>
      <c r="B3530" t="s">
        <v>3577</v>
      </c>
      <c r="C3530" t="str">
        <f>"9783030928162"</f>
        <v>9783030928162</v>
      </c>
      <c r="D3530" t="str">
        <f>"9783030928179"</f>
        <v>9783030928179</v>
      </c>
      <c r="E3530" t="s">
        <v>756</v>
      </c>
      <c r="F3530" s="1">
        <v>44714</v>
      </c>
    </row>
    <row r="3531" spans="1:6" x14ac:dyDescent="0.25">
      <c r="A3531">
        <v>6944412</v>
      </c>
      <c r="B3531" t="s">
        <v>3578</v>
      </c>
      <c r="C3531" t="str">
        <f>"9783658370527"</f>
        <v>9783658370527</v>
      </c>
      <c r="D3531" t="str">
        <f>"9783658370534"</f>
        <v>9783658370534</v>
      </c>
      <c r="E3531" t="s">
        <v>1391</v>
      </c>
      <c r="F3531" s="1">
        <v>44691</v>
      </c>
    </row>
    <row r="3532" spans="1:6" x14ac:dyDescent="0.25">
      <c r="A3532">
        <v>6944580</v>
      </c>
      <c r="B3532" t="s">
        <v>3579</v>
      </c>
      <c r="C3532" t="str">
        <f>"9781783748228"</f>
        <v>9781783748228</v>
      </c>
      <c r="D3532" t="str">
        <f>"9781783748235"</f>
        <v>9781783748235</v>
      </c>
      <c r="E3532" t="s">
        <v>580</v>
      </c>
      <c r="F3532" s="1">
        <v>43777</v>
      </c>
    </row>
    <row r="3533" spans="1:6" x14ac:dyDescent="0.25">
      <c r="A3533">
        <v>6944864</v>
      </c>
      <c r="B3533" t="s">
        <v>3580</v>
      </c>
      <c r="C3533" t="str">
        <f>"9781644694145"</f>
        <v>9781644694145</v>
      </c>
      <c r="D3533" t="str">
        <f>"9781644698303"</f>
        <v>9781644698303</v>
      </c>
      <c r="E3533" t="s">
        <v>514</v>
      </c>
      <c r="F3533" s="1">
        <v>44642</v>
      </c>
    </row>
    <row r="3534" spans="1:6" x14ac:dyDescent="0.25">
      <c r="A3534">
        <v>6944886</v>
      </c>
      <c r="B3534" t="s">
        <v>3581</v>
      </c>
      <c r="C3534" t="str">
        <f>"9781846311833"</f>
        <v>9781846311833</v>
      </c>
      <c r="D3534" t="str">
        <f>"9781789624229"</f>
        <v>9781789624229</v>
      </c>
      <c r="E3534" t="s">
        <v>1287</v>
      </c>
      <c r="F3534" s="1">
        <v>39934</v>
      </c>
    </row>
    <row r="3535" spans="1:6" x14ac:dyDescent="0.25">
      <c r="A3535">
        <v>6944888</v>
      </c>
      <c r="B3535" t="s">
        <v>3582</v>
      </c>
      <c r="C3535" t="str">
        <f>"9781846314780"</f>
        <v>9781846314780</v>
      </c>
      <c r="D3535" t="str">
        <f>"9781789624182"</f>
        <v>9781789624182</v>
      </c>
      <c r="E3535" t="s">
        <v>1287</v>
      </c>
      <c r="F3535" s="1">
        <v>40436</v>
      </c>
    </row>
    <row r="3536" spans="1:6" x14ac:dyDescent="0.25">
      <c r="A3536">
        <v>6944889</v>
      </c>
      <c r="B3536" t="s">
        <v>3583</v>
      </c>
      <c r="C3536" t="str">
        <f>"9781786942050"</f>
        <v>9781786942050</v>
      </c>
      <c r="D3536" t="str">
        <f>"9781786949646"</f>
        <v>9781786949646</v>
      </c>
      <c r="E3536" t="s">
        <v>1287</v>
      </c>
      <c r="F3536" s="1">
        <v>43525</v>
      </c>
    </row>
    <row r="3537" spans="1:6" x14ac:dyDescent="0.25">
      <c r="A3537">
        <v>6944890</v>
      </c>
      <c r="B3537" t="s">
        <v>3584</v>
      </c>
      <c r="C3537" t="str">
        <f>"9781846311949"</f>
        <v>9781846311949</v>
      </c>
      <c r="D3537" t="str">
        <f>"9781789624212"</f>
        <v>9781789624212</v>
      </c>
      <c r="E3537" t="s">
        <v>1287</v>
      </c>
      <c r="F3537" s="1">
        <v>39965</v>
      </c>
    </row>
    <row r="3538" spans="1:6" x14ac:dyDescent="0.25">
      <c r="A3538">
        <v>6944931</v>
      </c>
      <c r="B3538" t="s">
        <v>3585</v>
      </c>
      <c r="C3538" t="str">
        <f>"9783030949631"</f>
        <v>9783030949631</v>
      </c>
      <c r="D3538" t="str">
        <f>"9783030949648"</f>
        <v>9783030949648</v>
      </c>
      <c r="E3538" t="s">
        <v>756</v>
      </c>
      <c r="F3538" s="1">
        <v>44653</v>
      </c>
    </row>
    <row r="3539" spans="1:6" x14ac:dyDescent="0.25">
      <c r="A3539">
        <v>6944947</v>
      </c>
      <c r="B3539" t="s">
        <v>3586</v>
      </c>
      <c r="C3539" t="str">
        <f>"9789811676208"</f>
        <v>9789811676208</v>
      </c>
      <c r="D3539" t="str">
        <f>"9789811676215"</f>
        <v>9789811676215</v>
      </c>
      <c r="E3539" t="s">
        <v>757</v>
      </c>
      <c r="F3539" s="1">
        <v>44653</v>
      </c>
    </row>
    <row r="3540" spans="1:6" x14ac:dyDescent="0.25">
      <c r="A3540">
        <v>6944978</v>
      </c>
      <c r="B3540" t="s">
        <v>3587</v>
      </c>
      <c r="C3540" t="str">
        <f>""</f>
        <v/>
      </c>
      <c r="D3540" t="str">
        <f>"9789179292690"</f>
        <v>9789179292690</v>
      </c>
      <c r="E3540" t="s">
        <v>1268</v>
      </c>
      <c r="F3540" s="1">
        <v>44647</v>
      </c>
    </row>
    <row r="3541" spans="1:6" x14ac:dyDescent="0.25">
      <c r="A3541">
        <v>6944979</v>
      </c>
      <c r="B3541" t="s">
        <v>3588</v>
      </c>
      <c r="C3541" t="str">
        <f>""</f>
        <v/>
      </c>
      <c r="D3541" t="str">
        <f>"9789179291808"</f>
        <v>9789179291808</v>
      </c>
      <c r="E3541" t="s">
        <v>1268</v>
      </c>
      <c r="F3541" s="1">
        <v>44650</v>
      </c>
    </row>
    <row r="3542" spans="1:6" x14ac:dyDescent="0.25">
      <c r="A3542">
        <v>6946353</v>
      </c>
      <c r="B3542" t="s">
        <v>3589</v>
      </c>
      <c r="C3542" t="str">
        <f>"9783030968434"</f>
        <v>9783030968434</v>
      </c>
      <c r="D3542" t="str">
        <f>"9783030968441"</f>
        <v>9783030968441</v>
      </c>
      <c r="E3542" t="s">
        <v>756</v>
      </c>
      <c r="F3542" s="1">
        <v>44685</v>
      </c>
    </row>
    <row r="3543" spans="1:6" x14ac:dyDescent="0.25">
      <c r="A3543">
        <v>6946374</v>
      </c>
      <c r="B3543" t="s">
        <v>3590</v>
      </c>
      <c r="C3543" t="str">
        <f>"9783662646847"</f>
        <v>9783662646847</v>
      </c>
      <c r="D3543" t="str">
        <f>"9783662646854"</f>
        <v>9783662646854</v>
      </c>
      <c r="E3543" t="s">
        <v>1416</v>
      </c>
      <c r="F3543" s="1">
        <v>44656</v>
      </c>
    </row>
    <row r="3544" spans="1:6" x14ac:dyDescent="0.25">
      <c r="A3544">
        <v>6947041</v>
      </c>
      <c r="B3544" t="s">
        <v>3591</v>
      </c>
      <c r="C3544" t="str">
        <f>"9783658333058"</f>
        <v>9783658333058</v>
      </c>
      <c r="D3544" t="str">
        <f>"9783658333065"</f>
        <v>9783658333065</v>
      </c>
      <c r="E3544" t="s">
        <v>1391</v>
      </c>
      <c r="F3544" s="1">
        <v>44657</v>
      </c>
    </row>
    <row r="3545" spans="1:6" x14ac:dyDescent="0.25">
      <c r="A3545">
        <v>6947060</v>
      </c>
      <c r="B3545" t="s">
        <v>3592</v>
      </c>
      <c r="C3545" t="str">
        <f>"9783030945763"</f>
        <v>9783030945763</v>
      </c>
      <c r="D3545" t="str">
        <f>"9783030945770"</f>
        <v>9783030945770</v>
      </c>
      <c r="E3545" t="s">
        <v>756</v>
      </c>
      <c r="F3545" s="1">
        <v>44657</v>
      </c>
    </row>
    <row r="3546" spans="1:6" x14ac:dyDescent="0.25">
      <c r="A3546">
        <v>6949311</v>
      </c>
      <c r="B3546" t="s">
        <v>3593</v>
      </c>
      <c r="C3546" t="str">
        <f>"9783031040351"</f>
        <v>9783031040351</v>
      </c>
      <c r="D3546" t="str">
        <f>"9783031040368"</f>
        <v>9783031040368</v>
      </c>
      <c r="E3546" t="s">
        <v>756</v>
      </c>
      <c r="F3546" s="1">
        <v>44689</v>
      </c>
    </row>
    <row r="3547" spans="1:6" x14ac:dyDescent="0.25">
      <c r="A3547">
        <v>6949317</v>
      </c>
      <c r="B3547" t="s">
        <v>3594</v>
      </c>
      <c r="C3547" t="str">
        <f>"9783030898571"</f>
        <v>9783030898571</v>
      </c>
      <c r="D3547" t="str">
        <f>"9783030898588"</f>
        <v>9783030898588</v>
      </c>
      <c r="E3547" t="s">
        <v>756</v>
      </c>
      <c r="F3547" s="1">
        <v>44658</v>
      </c>
    </row>
    <row r="3548" spans="1:6" x14ac:dyDescent="0.25">
      <c r="A3548">
        <v>6949332</v>
      </c>
      <c r="B3548" t="s">
        <v>3595</v>
      </c>
      <c r="C3548" t="str">
        <f>"9783030862350"</f>
        <v>9783030862350</v>
      </c>
      <c r="D3548" t="str">
        <f>"9783030862367"</f>
        <v>9783030862367</v>
      </c>
      <c r="E3548" t="s">
        <v>756</v>
      </c>
      <c r="F3548" s="1">
        <v>44689</v>
      </c>
    </row>
    <row r="3549" spans="1:6" x14ac:dyDescent="0.25">
      <c r="A3549">
        <v>6949336</v>
      </c>
      <c r="B3549" t="s">
        <v>3596</v>
      </c>
      <c r="C3549" t="str">
        <f>"9783030920210"</f>
        <v>9783030920210</v>
      </c>
      <c r="D3549" t="str">
        <f>"9783030920227"</f>
        <v>9783030920227</v>
      </c>
      <c r="E3549" t="s">
        <v>756</v>
      </c>
      <c r="F3549" s="1">
        <v>44677</v>
      </c>
    </row>
    <row r="3550" spans="1:6" x14ac:dyDescent="0.25">
      <c r="A3550">
        <v>6949853</v>
      </c>
      <c r="B3550" t="s">
        <v>3597</v>
      </c>
      <c r="C3550" t="str">
        <f>"9783658332549"</f>
        <v>9783658332549</v>
      </c>
      <c r="D3550" t="str">
        <f>"9783658332556"</f>
        <v>9783658332556</v>
      </c>
      <c r="E3550" t="s">
        <v>1391</v>
      </c>
      <c r="F3550" s="1">
        <v>44366</v>
      </c>
    </row>
    <row r="3551" spans="1:6" x14ac:dyDescent="0.25">
      <c r="A3551">
        <v>6949866</v>
      </c>
      <c r="B3551" t="s">
        <v>3598</v>
      </c>
      <c r="C3551" t="str">
        <f>"9781648250132"</f>
        <v>9781648250132</v>
      </c>
      <c r="D3551" t="str">
        <f>"9781800102224"</f>
        <v>9781800102224</v>
      </c>
      <c r="E3551" t="s">
        <v>3534</v>
      </c>
      <c r="F3551" s="1">
        <v>44357</v>
      </c>
    </row>
    <row r="3552" spans="1:6" x14ac:dyDescent="0.25">
      <c r="A3552">
        <v>6950014</v>
      </c>
      <c r="B3552" t="s">
        <v>3599</v>
      </c>
      <c r="C3552" t="str">
        <f>"9781847012661"</f>
        <v>9781847012661</v>
      </c>
      <c r="D3552" t="str">
        <f>"9781800101487"</f>
        <v>9781800101487</v>
      </c>
      <c r="E3552" t="s">
        <v>3600</v>
      </c>
      <c r="F3552" s="1">
        <v>44355</v>
      </c>
    </row>
    <row r="3553" spans="1:6" x14ac:dyDescent="0.25">
      <c r="A3553">
        <v>6950015</v>
      </c>
      <c r="B3553" t="s">
        <v>3601</v>
      </c>
      <c r="C3553" t="str">
        <f>""</f>
        <v/>
      </c>
      <c r="D3553" t="str">
        <f>"9781800104532"</f>
        <v>9781800104532</v>
      </c>
      <c r="E3553" t="s">
        <v>3534</v>
      </c>
      <c r="F3553" s="1">
        <v>44602</v>
      </c>
    </row>
    <row r="3554" spans="1:6" x14ac:dyDescent="0.25">
      <c r="A3554">
        <v>6950016</v>
      </c>
      <c r="B3554" t="s">
        <v>3601</v>
      </c>
      <c r="C3554" t="str">
        <f>""</f>
        <v/>
      </c>
      <c r="D3554" t="str">
        <f>"9781800105218"</f>
        <v>9781800105218</v>
      </c>
      <c r="E3554" t="s">
        <v>3534</v>
      </c>
      <c r="F3554" s="1">
        <v>44602</v>
      </c>
    </row>
    <row r="3555" spans="1:6" x14ac:dyDescent="0.25">
      <c r="A3555">
        <v>6950017</v>
      </c>
      <c r="B3555" t="s">
        <v>3602</v>
      </c>
      <c r="C3555" t="str">
        <f>"9781580462792"</f>
        <v>9781580462792</v>
      </c>
      <c r="D3555" t="str">
        <f>"9781580467414"</f>
        <v>9781580467414</v>
      </c>
      <c r="E3555" t="s">
        <v>3534</v>
      </c>
      <c r="F3555" s="1">
        <v>39706</v>
      </c>
    </row>
    <row r="3556" spans="1:6" x14ac:dyDescent="0.25">
      <c r="A3556">
        <v>6950018</v>
      </c>
      <c r="B3556" t="s">
        <v>3603</v>
      </c>
      <c r="C3556" t="str">
        <f>"9781847011688"</f>
        <v>9781847011688</v>
      </c>
      <c r="D3556" t="str">
        <f>"9781787440579"</f>
        <v>9781787440579</v>
      </c>
      <c r="E3556" t="s">
        <v>3600</v>
      </c>
      <c r="F3556" s="1">
        <v>42965</v>
      </c>
    </row>
    <row r="3557" spans="1:6" x14ac:dyDescent="0.25">
      <c r="A3557">
        <v>6950019</v>
      </c>
      <c r="B3557" t="s">
        <v>3604</v>
      </c>
      <c r="C3557" t="str">
        <f>""</f>
        <v/>
      </c>
      <c r="D3557" t="str">
        <f>"9781800103030"</f>
        <v>9781800103030</v>
      </c>
      <c r="E3557" t="s">
        <v>3605</v>
      </c>
      <c r="F3557" s="1">
        <v>44621</v>
      </c>
    </row>
    <row r="3558" spans="1:6" x14ac:dyDescent="0.25">
      <c r="A3558">
        <v>6950020</v>
      </c>
      <c r="B3558" t="s">
        <v>3606</v>
      </c>
      <c r="C3558" t="str">
        <f>"9781648250040"</f>
        <v>9781648250040</v>
      </c>
      <c r="D3558" t="str">
        <f>"9781787449428"</f>
        <v>9781787449428</v>
      </c>
      <c r="E3558" t="s">
        <v>3534</v>
      </c>
      <c r="F3558" s="1">
        <v>44150</v>
      </c>
    </row>
    <row r="3559" spans="1:6" x14ac:dyDescent="0.25">
      <c r="A3559">
        <v>6950021</v>
      </c>
      <c r="B3559" t="s">
        <v>3607</v>
      </c>
      <c r="C3559" t="str">
        <f>"9781580461221"</f>
        <v>9781580461221</v>
      </c>
      <c r="D3559" t="str">
        <f>"9781580466134"</f>
        <v>9781580466134</v>
      </c>
      <c r="E3559" t="s">
        <v>3534</v>
      </c>
      <c r="F3559" s="1">
        <v>37570</v>
      </c>
    </row>
    <row r="3560" spans="1:6" x14ac:dyDescent="0.25">
      <c r="A3560">
        <v>6950022</v>
      </c>
      <c r="B3560" t="s">
        <v>3608</v>
      </c>
      <c r="C3560" t="str">
        <f>"9781843843924"</f>
        <v>9781843843924</v>
      </c>
      <c r="D3560" t="str">
        <f>"9781782043973"</f>
        <v>9781782043973</v>
      </c>
      <c r="E3560" t="s">
        <v>3605</v>
      </c>
      <c r="F3560" s="1">
        <v>41837</v>
      </c>
    </row>
    <row r="3561" spans="1:6" x14ac:dyDescent="0.25">
      <c r="A3561">
        <v>6950023</v>
      </c>
      <c r="B3561" t="s">
        <v>3609</v>
      </c>
      <c r="C3561" t="str">
        <f>"9781580469845"</f>
        <v>9781580469845</v>
      </c>
      <c r="D3561" t="str">
        <f>"9781787447202"</f>
        <v>9781787447202</v>
      </c>
      <c r="E3561" t="s">
        <v>3534</v>
      </c>
      <c r="F3561" s="1">
        <v>44005</v>
      </c>
    </row>
    <row r="3562" spans="1:6" x14ac:dyDescent="0.25">
      <c r="A3562">
        <v>6950304</v>
      </c>
      <c r="B3562" t="s">
        <v>3610</v>
      </c>
      <c r="C3562" t="str">
        <f>""</f>
        <v/>
      </c>
      <c r="D3562" t="str">
        <f>"9789179291600"</f>
        <v>9789179291600</v>
      </c>
      <c r="E3562" t="s">
        <v>1268</v>
      </c>
      <c r="F3562" s="1">
        <v>44655</v>
      </c>
    </row>
    <row r="3563" spans="1:6" x14ac:dyDescent="0.25">
      <c r="A3563">
        <v>6950306</v>
      </c>
      <c r="B3563" t="s">
        <v>3611</v>
      </c>
      <c r="C3563" t="str">
        <f>""</f>
        <v/>
      </c>
      <c r="D3563" t="str">
        <f>"9789179292577"</f>
        <v>9789179292577</v>
      </c>
      <c r="E3563" t="s">
        <v>1004</v>
      </c>
      <c r="F3563" s="1">
        <v>44656</v>
      </c>
    </row>
    <row r="3564" spans="1:6" x14ac:dyDescent="0.25">
      <c r="A3564">
        <v>6950307</v>
      </c>
      <c r="B3564" t="s">
        <v>3612</v>
      </c>
      <c r="C3564" t="str">
        <f>""</f>
        <v/>
      </c>
      <c r="D3564" t="str">
        <f>"9789179291785"</f>
        <v>9789179291785</v>
      </c>
      <c r="E3564" t="s">
        <v>1268</v>
      </c>
      <c r="F3564" s="1">
        <v>44655</v>
      </c>
    </row>
    <row r="3565" spans="1:6" x14ac:dyDescent="0.25">
      <c r="A3565">
        <v>6950331</v>
      </c>
      <c r="B3565" t="s">
        <v>3613</v>
      </c>
      <c r="C3565" t="str">
        <f>"9789811673849"</f>
        <v>9789811673849</v>
      </c>
      <c r="D3565" t="str">
        <f>"9789811673856"</f>
        <v>9789811673856</v>
      </c>
      <c r="E3565" t="s">
        <v>1177</v>
      </c>
      <c r="F3565" s="1">
        <v>44695</v>
      </c>
    </row>
    <row r="3566" spans="1:6" x14ac:dyDescent="0.25">
      <c r="A3566">
        <v>6950332</v>
      </c>
      <c r="B3566" t="s">
        <v>3614</v>
      </c>
      <c r="C3566" t="str">
        <f>"9783031013393"</f>
        <v>9783031013393</v>
      </c>
      <c r="D3566" t="str">
        <f>"9783031013409"</f>
        <v>9783031013409</v>
      </c>
      <c r="E3566" t="s">
        <v>756</v>
      </c>
      <c r="F3566" s="1">
        <v>44661</v>
      </c>
    </row>
    <row r="3567" spans="1:6" x14ac:dyDescent="0.25">
      <c r="A3567">
        <v>6951413</v>
      </c>
      <c r="B3567" t="s">
        <v>3615</v>
      </c>
      <c r="C3567" t="str">
        <f>"9783030848866"</f>
        <v>9783030848866</v>
      </c>
      <c r="D3567" t="str">
        <f>"9783030848873"</f>
        <v>9783030848873</v>
      </c>
      <c r="E3567" t="s">
        <v>756</v>
      </c>
      <c r="F3567" s="1">
        <v>44700</v>
      </c>
    </row>
    <row r="3568" spans="1:6" x14ac:dyDescent="0.25">
      <c r="A3568">
        <v>6951933</v>
      </c>
      <c r="B3568" t="s">
        <v>3616</v>
      </c>
      <c r="C3568" t="str">
        <f>"9783030914431"</f>
        <v>9783030914431</v>
      </c>
      <c r="D3568" t="str">
        <f>"9783030920807"</f>
        <v>9783030920807</v>
      </c>
      <c r="E3568" t="s">
        <v>756</v>
      </c>
      <c r="F3568" s="1">
        <v>44664</v>
      </c>
    </row>
    <row r="3569" spans="1:6" x14ac:dyDescent="0.25">
      <c r="A3569">
        <v>6951944</v>
      </c>
      <c r="B3569" t="s">
        <v>3617</v>
      </c>
      <c r="C3569" t="str">
        <f>"9783030852573"</f>
        <v>9783030852573</v>
      </c>
      <c r="D3569" t="str">
        <f>"9783030852580"</f>
        <v>9783030852580</v>
      </c>
      <c r="E3569" t="s">
        <v>756</v>
      </c>
      <c r="F3569" s="1">
        <v>44664</v>
      </c>
    </row>
    <row r="3570" spans="1:6" x14ac:dyDescent="0.25">
      <c r="A3570">
        <v>6951957</v>
      </c>
      <c r="B3570" t="s">
        <v>3618</v>
      </c>
      <c r="C3570" t="str">
        <f>"9789811912597"</f>
        <v>9789811912597</v>
      </c>
      <c r="D3570" t="str">
        <f>"9789811912603"</f>
        <v>9789811912603</v>
      </c>
      <c r="E3570" t="s">
        <v>1177</v>
      </c>
      <c r="F3570" s="1">
        <v>44664</v>
      </c>
    </row>
    <row r="3571" spans="1:6" x14ac:dyDescent="0.25">
      <c r="A3571">
        <v>6953178</v>
      </c>
      <c r="B3571" t="s">
        <v>3619</v>
      </c>
      <c r="C3571" t="str">
        <f>"9783658368074"</f>
        <v>9783658368074</v>
      </c>
      <c r="D3571" t="str">
        <f>"9783658368081"</f>
        <v>9783658368081</v>
      </c>
      <c r="E3571" t="s">
        <v>1391</v>
      </c>
      <c r="F3571" s="1">
        <v>44696</v>
      </c>
    </row>
    <row r="3572" spans="1:6" x14ac:dyDescent="0.25">
      <c r="A3572">
        <v>6953198</v>
      </c>
      <c r="B3572" t="s">
        <v>3620</v>
      </c>
      <c r="C3572" t="str">
        <f>"9783030942113"</f>
        <v>9783030942113</v>
      </c>
      <c r="D3572" t="str">
        <f>"9783030942120"</f>
        <v>9783030942120</v>
      </c>
      <c r="E3572" t="s">
        <v>756</v>
      </c>
      <c r="F3572" s="1">
        <v>44696</v>
      </c>
    </row>
    <row r="3573" spans="1:6" x14ac:dyDescent="0.25">
      <c r="A3573">
        <v>6953650</v>
      </c>
      <c r="B3573" t="s">
        <v>3621</v>
      </c>
      <c r="C3573" t="str">
        <f>"9780472132966"</f>
        <v>9780472132966</v>
      </c>
      <c r="D3573" t="str">
        <f>"9780472902712"</f>
        <v>9780472902712</v>
      </c>
      <c r="E3573" t="s">
        <v>689</v>
      </c>
      <c r="F3573" s="1">
        <v>44645</v>
      </c>
    </row>
    <row r="3574" spans="1:6" x14ac:dyDescent="0.25">
      <c r="A3574">
        <v>6954108</v>
      </c>
      <c r="B3574" t="s">
        <v>3622</v>
      </c>
      <c r="C3574" t="str">
        <f>""</f>
        <v/>
      </c>
      <c r="D3574" t="str">
        <f>"9789179292126"</f>
        <v>9789179292126</v>
      </c>
      <c r="E3574" t="s">
        <v>1004</v>
      </c>
      <c r="F3574" s="1">
        <v>44664</v>
      </c>
    </row>
    <row r="3575" spans="1:6" x14ac:dyDescent="0.25">
      <c r="A3575">
        <v>6954109</v>
      </c>
      <c r="B3575" t="s">
        <v>3623</v>
      </c>
      <c r="C3575" t="str">
        <f>""</f>
        <v/>
      </c>
      <c r="D3575" t="str">
        <f>"9789179292676"</f>
        <v>9789179292676</v>
      </c>
      <c r="E3575" t="s">
        <v>1004</v>
      </c>
      <c r="F3575" s="1">
        <v>44664</v>
      </c>
    </row>
    <row r="3576" spans="1:6" x14ac:dyDescent="0.25">
      <c r="A3576">
        <v>6954110</v>
      </c>
      <c r="B3576" t="s">
        <v>3624</v>
      </c>
      <c r="C3576" t="str">
        <f>""</f>
        <v/>
      </c>
      <c r="D3576" t="str">
        <f>"9789179292553"</f>
        <v>9789179292553</v>
      </c>
      <c r="E3576" t="s">
        <v>1004</v>
      </c>
      <c r="F3576" s="1">
        <v>44662</v>
      </c>
    </row>
    <row r="3577" spans="1:6" x14ac:dyDescent="0.25">
      <c r="A3577">
        <v>6954111</v>
      </c>
      <c r="B3577" t="s">
        <v>3625</v>
      </c>
      <c r="C3577" t="str">
        <f>""</f>
        <v/>
      </c>
      <c r="D3577" t="str">
        <f>"9789179292652"</f>
        <v>9789179292652</v>
      </c>
      <c r="E3577" t="s">
        <v>1004</v>
      </c>
      <c r="F3577" s="1">
        <v>44663</v>
      </c>
    </row>
    <row r="3578" spans="1:6" x14ac:dyDescent="0.25">
      <c r="A3578">
        <v>6954138</v>
      </c>
      <c r="B3578" t="s">
        <v>3626</v>
      </c>
      <c r="C3578" t="str">
        <f>"9781802070095"</f>
        <v>9781802070095</v>
      </c>
      <c r="D3578" t="str">
        <f>"9781802070651"</f>
        <v>9781802070651</v>
      </c>
      <c r="E3578" t="s">
        <v>1287</v>
      </c>
      <c r="F3578" s="1">
        <v>44682</v>
      </c>
    </row>
    <row r="3579" spans="1:6" x14ac:dyDescent="0.25">
      <c r="A3579">
        <v>6954145</v>
      </c>
      <c r="B3579" t="s">
        <v>3627</v>
      </c>
      <c r="C3579" t="str">
        <f>"9789811909191"</f>
        <v>9789811909191</v>
      </c>
      <c r="D3579" t="str">
        <f>"9789811909207"</f>
        <v>9789811909207</v>
      </c>
      <c r="E3579" t="s">
        <v>757</v>
      </c>
      <c r="F3579" s="1">
        <v>44703</v>
      </c>
    </row>
    <row r="3580" spans="1:6" x14ac:dyDescent="0.25">
      <c r="A3580">
        <v>6954215</v>
      </c>
      <c r="B3580" t="s">
        <v>3628</v>
      </c>
      <c r="C3580" t="str">
        <f>"9789814338837"</f>
        <v>9789814338837</v>
      </c>
      <c r="D3580" t="str">
        <f>"9789814338851"</f>
        <v>9789814338851</v>
      </c>
      <c r="E3580" t="s">
        <v>1382</v>
      </c>
      <c r="F3580" s="1">
        <v>40802</v>
      </c>
    </row>
    <row r="3581" spans="1:6" x14ac:dyDescent="0.25">
      <c r="A3581">
        <v>6954332</v>
      </c>
      <c r="B3581" t="s">
        <v>3629</v>
      </c>
      <c r="C3581" t="str">
        <f>"9783031040825"</f>
        <v>9783031040825</v>
      </c>
      <c r="D3581" t="str">
        <f>"9783031040832"</f>
        <v>9783031040832</v>
      </c>
      <c r="E3581" t="s">
        <v>756</v>
      </c>
      <c r="F3581" s="1">
        <v>44706</v>
      </c>
    </row>
    <row r="3582" spans="1:6" x14ac:dyDescent="0.25">
      <c r="A3582">
        <v>6954915</v>
      </c>
      <c r="B3582" t="s">
        <v>3630</v>
      </c>
      <c r="C3582" t="str">
        <f>"9783658371791"</f>
        <v>9783658371791</v>
      </c>
      <c r="D3582" t="str">
        <f>"9783658371807"</f>
        <v>9783658371807</v>
      </c>
      <c r="E3582" t="s">
        <v>1391</v>
      </c>
      <c r="F3582" s="1">
        <v>44670</v>
      </c>
    </row>
    <row r="3583" spans="1:6" x14ac:dyDescent="0.25">
      <c r="A3583">
        <v>6954926</v>
      </c>
      <c r="B3583" t="s">
        <v>3631</v>
      </c>
      <c r="C3583" t="str">
        <f>"9783662649336"</f>
        <v>9783662649336</v>
      </c>
      <c r="D3583" t="str">
        <f>"9783662649343"</f>
        <v>9783662649343</v>
      </c>
      <c r="E3583" t="s">
        <v>1416</v>
      </c>
      <c r="F3583" s="1">
        <v>44670</v>
      </c>
    </row>
    <row r="3584" spans="1:6" x14ac:dyDescent="0.25">
      <c r="A3584">
        <v>6955499</v>
      </c>
      <c r="B3584" t="s">
        <v>3632</v>
      </c>
      <c r="C3584" t="str">
        <f>"9780472038787"</f>
        <v>9780472038787</v>
      </c>
      <c r="D3584" t="str">
        <f>"9780472902507"</f>
        <v>9780472902507</v>
      </c>
      <c r="E3584" t="s">
        <v>689</v>
      </c>
      <c r="F3584" s="1">
        <v>44529</v>
      </c>
    </row>
    <row r="3585" spans="1:6" x14ac:dyDescent="0.25">
      <c r="A3585">
        <v>6957420</v>
      </c>
      <c r="B3585" t="s">
        <v>3633</v>
      </c>
      <c r="C3585" t="str">
        <f>"9783030937973"</f>
        <v>9783030937973</v>
      </c>
      <c r="D3585" t="str">
        <f>"9783030937980"</f>
        <v>9783030937980</v>
      </c>
      <c r="E3585" t="s">
        <v>756</v>
      </c>
      <c r="F3585" s="1">
        <v>44706</v>
      </c>
    </row>
    <row r="3586" spans="1:6" x14ac:dyDescent="0.25">
      <c r="A3586">
        <v>6961053</v>
      </c>
      <c r="B3586" t="s">
        <v>3634</v>
      </c>
      <c r="C3586" t="str">
        <f>"9783030888015"</f>
        <v>9783030888015</v>
      </c>
      <c r="D3586" t="str">
        <f>"9783030888022"</f>
        <v>9783030888022</v>
      </c>
      <c r="E3586" t="s">
        <v>756</v>
      </c>
      <c r="F3586" s="1">
        <v>44705</v>
      </c>
    </row>
    <row r="3587" spans="1:6" x14ac:dyDescent="0.25">
      <c r="A3587">
        <v>6961341</v>
      </c>
      <c r="B3587" t="s">
        <v>3635</v>
      </c>
      <c r="C3587" t="str">
        <f>"9783030967086"</f>
        <v>9783030967086</v>
      </c>
      <c r="D3587" t="str">
        <f>"9783030967093"</f>
        <v>9783030967093</v>
      </c>
      <c r="E3587" t="s">
        <v>756</v>
      </c>
      <c r="F3587" s="1">
        <v>44716</v>
      </c>
    </row>
    <row r="3588" spans="1:6" x14ac:dyDescent="0.25">
      <c r="A3588">
        <v>6961413</v>
      </c>
      <c r="B3588" t="s">
        <v>3636</v>
      </c>
      <c r="C3588" t="str">
        <f>"9783030929008"</f>
        <v>9783030929008</v>
      </c>
      <c r="D3588" t="str">
        <f>"9783030929015"</f>
        <v>9783030929015</v>
      </c>
      <c r="E3588" t="s">
        <v>756</v>
      </c>
      <c r="F3588" s="1">
        <v>44727</v>
      </c>
    </row>
    <row r="3589" spans="1:6" x14ac:dyDescent="0.25">
      <c r="A3589">
        <v>6961414</v>
      </c>
      <c r="B3589" t="s">
        <v>3637</v>
      </c>
      <c r="C3589" t="str">
        <f>"9783030974046"</f>
        <v>9783030974046</v>
      </c>
      <c r="D3589" t="str">
        <f>"9783030974053"</f>
        <v>9783030974053</v>
      </c>
      <c r="E3589" t="s">
        <v>756</v>
      </c>
      <c r="F3589" s="1">
        <v>44705</v>
      </c>
    </row>
    <row r="3590" spans="1:6" x14ac:dyDescent="0.25">
      <c r="A3590">
        <v>6961497</v>
      </c>
      <c r="B3590" t="s">
        <v>3638</v>
      </c>
      <c r="C3590" t="str">
        <f>""</f>
        <v/>
      </c>
      <c r="D3590" t="str">
        <f>"9789179292980"</f>
        <v>9789179292980</v>
      </c>
      <c r="E3590" t="s">
        <v>1004</v>
      </c>
      <c r="F3590" s="1">
        <v>44671</v>
      </c>
    </row>
    <row r="3591" spans="1:6" x14ac:dyDescent="0.25">
      <c r="A3591">
        <v>6961501</v>
      </c>
      <c r="B3591" t="s">
        <v>3639</v>
      </c>
      <c r="C3591" t="str">
        <f>""</f>
        <v/>
      </c>
      <c r="D3591" t="str">
        <f>"9789179290184"</f>
        <v>9789179290184</v>
      </c>
      <c r="E3591" t="s">
        <v>1004</v>
      </c>
      <c r="F3591" s="1">
        <v>44671</v>
      </c>
    </row>
    <row r="3592" spans="1:6" x14ac:dyDescent="0.25">
      <c r="A3592">
        <v>6961667</v>
      </c>
      <c r="B3592" t="s">
        <v>3640</v>
      </c>
      <c r="C3592" t="str">
        <f>"9783030930141"</f>
        <v>9783030930141</v>
      </c>
      <c r="D3592" t="str">
        <f>"9783030930158"</f>
        <v>9783030930158</v>
      </c>
      <c r="E3592" t="s">
        <v>756</v>
      </c>
      <c r="F3592" s="1">
        <v>44714</v>
      </c>
    </row>
    <row r="3593" spans="1:6" x14ac:dyDescent="0.25">
      <c r="A3593">
        <v>6961691</v>
      </c>
      <c r="B3593" t="s">
        <v>3641</v>
      </c>
      <c r="C3593" t="str">
        <f>"9783030942724"</f>
        <v>9783030942724</v>
      </c>
      <c r="D3593" t="str">
        <f>"9783030942731"</f>
        <v>9783030942731</v>
      </c>
      <c r="E3593" t="s">
        <v>756</v>
      </c>
      <c r="F3593" s="1">
        <v>44675</v>
      </c>
    </row>
    <row r="3594" spans="1:6" x14ac:dyDescent="0.25">
      <c r="A3594">
        <v>6962836</v>
      </c>
      <c r="B3594" t="s">
        <v>3642</v>
      </c>
      <c r="C3594" t="str">
        <f>"9783030865993"</f>
        <v>9783030865993</v>
      </c>
      <c r="D3594" t="str">
        <f>"9783030866006"</f>
        <v>9783030866006</v>
      </c>
      <c r="E3594" t="s">
        <v>756</v>
      </c>
      <c r="F3594" s="1">
        <v>44700</v>
      </c>
    </row>
    <row r="3595" spans="1:6" x14ac:dyDescent="0.25">
      <c r="A3595">
        <v>6962848</v>
      </c>
      <c r="B3595" t="s">
        <v>3643</v>
      </c>
      <c r="C3595" t="str">
        <f>"9789811647161"</f>
        <v>9789811647161</v>
      </c>
      <c r="D3595" t="str">
        <f>"9789811647178"</f>
        <v>9789811647178</v>
      </c>
      <c r="E3595" t="s">
        <v>1177</v>
      </c>
      <c r="F3595" s="1">
        <v>44597</v>
      </c>
    </row>
    <row r="3596" spans="1:6" x14ac:dyDescent="0.25">
      <c r="A3596">
        <v>6962853</v>
      </c>
      <c r="B3596" t="s">
        <v>3644</v>
      </c>
      <c r="C3596" t="str">
        <f>"9783030886813"</f>
        <v>9783030886813</v>
      </c>
      <c r="D3596" t="str">
        <f>"9783030886820"</f>
        <v>9783030886820</v>
      </c>
      <c r="E3596" t="s">
        <v>756</v>
      </c>
      <c r="F3596" s="1">
        <v>44716</v>
      </c>
    </row>
    <row r="3597" spans="1:6" x14ac:dyDescent="0.25">
      <c r="A3597">
        <v>6963471</v>
      </c>
      <c r="B3597" t="s">
        <v>3645</v>
      </c>
      <c r="C3597" t="str">
        <f>"9783030978365"</f>
        <v>9783030978365</v>
      </c>
      <c r="D3597" t="str">
        <f>"9783030978372"</f>
        <v>9783030978372</v>
      </c>
      <c r="E3597" t="s">
        <v>756</v>
      </c>
      <c r="F3597" s="1">
        <v>44678</v>
      </c>
    </row>
    <row r="3598" spans="1:6" x14ac:dyDescent="0.25">
      <c r="A3598">
        <v>6963491</v>
      </c>
      <c r="B3598" t="s">
        <v>3646</v>
      </c>
      <c r="C3598" t="str">
        <f>"9783030975555"</f>
        <v>9783030975555</v>
      </c>
      <c r="D3598" t="str">
        <f>"9783030975562"</f>
        <v>9783030975562</v>
      </c>
      <c r="E3598" t="s">
        <v>756</v>
      </c>
      <c r="F3598" s="1">
        <v>44678</v>
      </c>
    </row>
    <row r="3599" spans="1:6" x14ac:dyDescent="0.25">
      <c r="A3599">
        <v>6965025</v>
      </c>
      <c r="B3599" t="s">
        <v>3647</v>
      </c>
      <c r="C3599" t="str">
        <f>"9783658373917"</f>
        <v>9783658373917</v>
      </c>
      <c r="D3599" t="str">
        <f>"9783658373924"</f>
        <v>9783658373924</v>
      </c>
      <c r="E3599" t="s">
        <v>1391</v>
      </c>
      <c r="F3599" s="1">
        <v>44710</v>
      </c>
    </row>
    <row r="3600" spans="1:6" x14ac:dyDescent="0.25">
      <c r="A3600">
        <v>6965072</v>
      </c>
      <c r="B3600" t="s">
        <v>3648</v>
      </c>
      <c r="C3600" t="str">
        <f>"9783658365653"</f>
        <v>9783658365653</v>
      </c>
      <c r="D3600" t="str">
        <f>"9783658365660"</f>
        <v>9783658365660</v>
      </c>
      <c r="E3600" t="s">
        <v>1391</v>
      </c>
      <c r="F3600" s="1">
        <v>44716</v>
      </c>
    </row>
    <row r="3601" spans="1:6" x14ac:dyDescent="0.25">
      <c r="A3601">
        <v>6965093</v>
      </c>
      <c r="B3601" t="s">
        <v>3649</v>
      </c>
      <c r="C3601" t="str">
        <f>"9783030992552"</f>
        <v>9783030992552</v>
      </c>
      <c r="D3601" t="str">
        <f>"9783030992569"</f>
        <v>9783030992569</v>
      </c>
      <c r="E3601" t="s">
        <v>756</v>
      </c>
      <c r="F3601" s="1">
        <v>44679</v>
      </c>
    </row>
    <row r="3602" spans="1:6" x14ac:dyDescent="0.25">
      <c r="A3602">
        <v>6965112</v>
      </c>
      <c r="B3602" t="s">
        <v>3650</v>
      </c>
      <c r="C3602" t="str">
        <f>"9783030783068"</f>
        <v>9783030783068</v>
      </c>
      <c r="D3602" t="str">
        <f>"9783030783075"</f>
        <v>9783030783075</v>
      </c>
      <c r="E3602" t="s">
        <v>756</v>
      </c>
      <c r="F3602" s="1">
        <v>44716</v>
      </c>
    </row>
    <row r="3603" spans="1:6" x14ac:dyDescent="0.25">
      <c r="A3603">
        <v>6966380</v>
      </c>
      <c r="B3603" t="s">
        <v>3651</v>
      </c>
      <c r="C3603" t="str">
        <f>""</f>
        <v/>
      </c>
      <c r="D3603" t="str">
        <f>"9789179292904"</f>
        <v>9789179292904</v>
      </c>
      <c r="E3603" t="s">
        <v>1004</v>
      </c>
      <c r="F3603" s="1">
        <v>44680</v>
      </c>
    </row>
    <row r="3604" spans="1:6" x14ac:dyDescent="0.25">
      <c r="A3604">
        <v>6966381</v>
      </c>
      <c r="B3604" t="s">
        <v>3652</v>
      </c>
      <c r="C3604" t="str">
        <f>""</f>
        <v/>
      </c>
      <c r="D3604" t="str">
        <f>"9789179292867"</f>
        <v>9789179292867</v>
      </c>
      <c r="E3604" t="s">
        <v>1004</v>
      </c>
      <c r="F3604" s="1">
        <v>44680</v>
      </c>
    </row>
    <row r="3605" spans="1:6" x14ac:dyDescent="0.25">
      <c r="A3605">
        <v>6966382</v>
      </c>
      <c r="B3605" t="s">
        <v>3653</v>
      </c>
      <c r="C3605" t="str">
        <f>""</f>
        <v/>
      </c>
      <c r="D3605" t="str">
        <f>"9789179293369"</f>
        <v>9789179293369</v>
      </c>
      <c r="E3605" t="s">
        <v>1004</v>
      </c>
      <c r="F3605" s="1">
        <v>44678</v>
      </c>
    </row>
    <row r="3606" spans="1:6" x14ac:dyDescent="0.25">
      <c r="A3606">
        <v>6966385</v>
      </c>
      <c r="B3606" t="s">
        <v>3654</v>
      </c>
      <c r="C3606" t="str">
        <f>""</f>
        <v/>
      </c>
      <c r="D3606" t="str">
        <f>"9789179292829"</f>
        <v>9789179292829</v>
      </c>
      <c r="E3606" t="s">
        <v>1004</v>
      </c>
      <c r="F3606" s="1">
        <v>44676</v>
      </c>
    </row>
    <row r="3607" spans="1:6" x14ac:dyDescent="0.25">
      <c r="A3607">
        <v>6966386</v>
      </c>
      <c r="B3607" t="s">
        <v>3655</v>
      </c>
      <c r="C3607" t="str">
        <f>""</f>
        <v/>
      </c>
      <c r="D3607" t="str">
        <f>"9789179293451"</f>
        <v>9789179293451</v>
      </c>
      <c r="E3607" t="s">
        <v>1004</v>
      </c>
      <c r="F3607" s="1">
        <v>44677</v>
      </c>
    </row>
    <row r="3608" spans="1:6" x14ac:dyDescent="0.25">
      <c r="A3608">
        <v>6966394</v>
      </c>
      <c r="B3608" t="s">
        <v>3656</v>
      </c>
      <c r="C3608" t="str">
        <f>"9783030945893"</f>
        <v>9783030945893</v>
      </c>
      <c r="D3608" t="str">
        <f>"9783030945909"</f>
        <v>9783030945909</v>
      </c>
      <c r="E3608" t="s">
        <v>756</v>
      </c>
      <c r="F3608" s="1">
        <v>44721</v>
      </c>
    </row>
    <row r="3609" spans="1:6" x14ac:dyDescent="0.25">
      <c r="A3609">
        <v>6970020</v>
      </c>
      <c r="B3609" t="s">
        <v>3657</v>
      </c>
      <c r="C3609" t="str">
        <f>"9789633864517"</f>
        <v>9789633864517</v>
      </c>
      <c r="D3609" t="str">
        <f>"9789633864524"</f>
        <v>9789633864524</v>
      </c>
      <c r="E3609" t="s">
        <v>576</v>
      </c>
      <c r="F3609" s="1">
        <v>44722</v>
      </c>
    </row>
    <row r="3610" spans="1:6" x14ac:dyDescent="0.25">
      <c r="A3610">
        <v>6970721</v>
      </c>
      <c r="B3610" t="s">
        <v>3658</v>
      </c>
      <c r="C3610" t="str">
        <f>"9783030944025"</f>
        <v>9783030944025</v>
      </c>
      <c r="D3610" t="str">
        <f>"9783030944032"</f>
        <v>9783030944032</v>
      </c>
      <c r="E3610" t="s">
        <v>756</v>
      </c>
      <c r="F3610" s="1">
        <v>44685</v>
      </c>
    </row>
    <row r="3611" spans="1:6" x14ac:dyDescent="0.25">
      <c r="A3611">
        <v>6975979</v>
      </c>
      <c r="B3611" t="s">
        <v>3659</v>
      </c>
      <c r="C3611" t="str">
        <f>"9783658375119"</f>
        <v>9783658375119</v>
      </c>
      <c r="D3611" t="str">
        <f>"9783658375126"</f>
        <v>9783658375126</v>
      </c>
      <c r="E3611" t="s">
        <v>1391</v>
      </c>
      <c r="F3611" s="1">
        <v>44685</v>
      </c>
    </row>
    <row r="3612" spans="1:6" x14ac:dyDescent="0.25">
      <c r="A3612">
        <v>6975987</v>
      </c>
      <c r="B3612" t="s">
        <v>3660</v>
      </c>
      <c r="C3612" t="str">
        <f>"9783030952655"</f>
        <v>9783030952655</v>
      </c>
      <c r="D3612" t="str">
        <f>"9783030952662"</f>
        <v>9783030952662</v>
      </c>
      <c r="E3612" t="s">
        <v>756</v>
      </c>
      <c r="F3612" s="1">
        <v>44685</v>
      </c>
    </row>
    <row r="3613" spans="1:6" x14ac:dyDescent="0.25">
      <c r="A3613">
        <v>6976014</v>
      </c>
      <c r="B3613" t="s">
        <v>3661</v>
      </c>
      <c r="C3613" t="str">
        <f>"9783658374372"</f>
        <v>9783658374372</v>
      </c>
      <c r="D3613" t="str">
        <f>"9783658374389"</f>
        <v>9783658374389</v>
      </c>
      <c r="E3613" t="s">
        <v>1391</v>
      </c>
      <c r="F3613" s="1">
        <v>44685</v>
      </c>
    </row>
    <row r="3614" spans="1:6" x14ac:dyDescent="0.25">
      <c r="A3614">
        <v>6976052</v>
      </c>
      <c r="B3614" t="s">
        <v>3662</v>
      </c>
      <c r="C3614" t="str">
        <f>"9783030817350"</f>
        <v>9783030817350</v>
      </c>
      <c r="D3614" t="str">
        <f>"9783030817367"</f>
        <v>9783030817367</v>
      </c>
      <c r="E3614" t="s">
        <v>756</v>
      </c>
      <c r="F3614" s="1">
        <v>44685</v>
      </c>
    </row>
    <row r="3615" spans="1:6" x14ac:dyDescent="0.25">
      <c r="A3615">
        <v>6976056</v>
      </c>
      <c r="B3615" t="s">
        <v>3663</v>
      </c>
      <c r="C3615" t="str">
        <f>"9783030984663"</f>
        <v>9783030984663</v>
      </c>
      <c r="D3615" t="str">
        <f>"9783030984670"</f>
        <v>9783030984670</v>
      </c>
      <c r="E3615" t="s">
        <v>756</v>
      </c>
      <c r="F3615" s="1">
        <v>44712</v>
      </c>
    </row>
    <row r="3616" spans="1:6" x14ac:dyDescent="0.25">
      <c r="A3616">
        <v>6976068</v>
      </c>
      <c r="B3616" t="s">
        <v>3664</v>
      </c>
      <c r="C3616" t="str">
        <f>"9783030972424"</f>
        <v>9783030972424</v>
      </c>
      <c r="D3616" t="str">
        <f>"9783030972431"</f>
        <v>9783030972431</v>
      </c>
      <c r="E3616" t="s">
        <v>756</v>
      </c>
      <c r="F3616" s="1">
        <v>44685</v>
      </c>
    </row>
    <row r="3617" spans="1:6" x14ac:dyDescent="0.25">
      <c r="A3617">
        <v>6976072</v>
      </c>
      <c r="B3617" t="s">
        <v>3665</v>
      </c>
      <c r="C3617" t="str">
        <f>"9783658372552"</f>
        <v>9783658372552</v>
      </c>
      <c r="D3617" t="str">
        <f>"9783658372569"</f>
        <v>9783658372569</v>
      </c>
      <c r="E3617" t="s">
        <v>1391</v>
      </c>
      <c r="F3617" s="1">
        <v>44685</v>
      </c>
    </row>
    <row r="3618" spans="1:6" x14ac:dyDescent="0.25">
      <c r="A3618">
        <v>6976081</v>
      </c>
      <c r="B3618" t="s">
        <v>3666</v>
      </c>
      <c r="C3618" t="str">
        <f>"9783658342920"</f>
        <v>9783658342920</v>
      </c>
      <c r="D3618" t="str">
        <f>"9783658342937"</f>
        <v>9783658342937</v>
      </c>
      <c r="E3618" t="s">
        <v>1391</v>
      </c>
      <c r="F3618" s="1">
        <v>44685</v>
      </c>
    </row>
    <row r="3619" spans="1:6" x14ac:dyDescent="0.25">
      <c r="A3619">
        <v>6976277</v>
      </c>
      <c r="B3619" t="s">
        <v>3667</v>
      </c>
      <c r="C3619" t="str">
        <f>"9783030928797"</f>
        <v>9783030928797</v>
      </c>
      <c r="D3619" t="str">
        <f>"9783030928803"</f>
        <v>9783030928803</v>
      </c>
      <c r="E3619" t="s">
        <v>756</v>
      </c>
      <c r="F3619" s="1">
        <v>44687</v>
      </c>
    </row>
    <row r="3620" spans="1:6" x14ac:dyDescent="0.25">
      <c r="A3620">
        <v>6977210</v>
      </c>
      <c r="B3620" t="s">
        <v>3668</v>
      </c>
      <c r="C3620" t="str">
        <f>"9781800348493"</f>
        <v>9781800348493</v>
      </c>
      <c r="D3620" t="str">
        <f>"9781800345560"</f>
        <v>9781800345560</v>
      </c>
      <c r="E3620" t="s">
        <v>1287</v>
      </c>
      <c r="F3620" s="1">
        <v>44713</v>
      </c>
    </row>
    <row r="3621" spans="1:6" x14ac:dyDescent="0.25">
      <c r="A3621">
        <v>6977218</v>
      </c>
      <c r="B3621" t="s">
        <v>3669</v>
      </c>
      <c r="C3621" t="str">
        <f>"9781846311147"</f>
        <v>9781846311147</v>
      </c>
      <c r="D3621" t="str">
        <f>"9781846313875"</f>
        <v>9781846313875</v>
      </c>
      <c r="E3621" t="s">
        <v>1287</v>
      </c>
      <c r="F3621" s="1">
        <v>39417</v>
      </c>
    </row>
    <row r="3622" spans="1:6" x14ac:dyDescent="0.25">
      <c r="A3622">
        <v>6977223</v>
      </c>
      <c r="B3622" t="s">
        <v>3670</v>
      </c>
      <c r="C3622" t="str">
        <f>"9781789621839"</f>
        <v>9781789621839</v>
      </c>
      <c r="D3622" t="str">
        <f>"9781789627633"</f>
        <v>9781789627633</v>
      </c>
      <c r="E3622" t="s">
        <v>1287</v>
      </c>
      <c r="F3622" s="1">
        <v>44013</v>
      </c>
    </row>
    <row r="3623" spans="1:6" x14ac:dyDescent="0.25">
      <c r="A3623">
        <v>6977289</v>
      </c>
      <c r="B3623" t="s">
        <v>3671</v>
      </c>
      <c r="C3623" t="str">
        <f>"9783658369606"</f>
        <v>9783658369606</v>
      </c>
      <c r="D3623" t="str">
        <f>"9783658369613"</f>
        <v>9783658369613</v>
      </c>
      <c r="E3623" t="s">
        <v>1391</v>
      </c>
      <c r="F3623" s="1">
        <v>44723</v>
      </c>
    </row>
    <row r="3624" spans="1:6" x14ac:dyDescent="0.25">
      <c r="A3624">
        <v>6977335</v>
      </c>
      <c r="B3624" t="s">
        <v>3672</v>
      </c>
      <c r="C3624" t="str">
        <f>"9783030965877"</f>
        <v>9783030965877</v>
      </c>
      <c r="D3624" t="str">
        <f>"9783030965884"</f>
        <v>9783030965884</v>
      </c>
      <c r="E3624" t="s">
        <v>756</v>
      </c>
      <c r="F3624" s="1">
        <v>44735</v>
      </c>
    </row>
    <row r="3625" spans="1:6" x14ac:dyDescent="0.25">
      <c r="A3625">
        <v>6977337</v>
      </c>
      <c r="B3625" t="s">
        <v>3673</v>
      </c>
      <c r="C3625" t="str">
        <f>"9783030684099"</f>
        <v>9783030684099</v>
      </c>
      <c r="D3625" t="str">
        <f>"9783030684105"</f>
        <v>9783030684105</v>
      </c>
      <c r="E3625" t="s">
        <v>756</v>
      </c>
      <c r="F3625" s="1">
        <v>44717</v>
      </c>
    </row>
    <row r="3626" spans="1:6" x14ac:dyDescent="0.25">
      <c r="A3626">
        <v>6977378</v>
      </c>
      <c r="B3626" t="s">
        <v>3674</v>
      </c>
      <c r="C3626" t="str">
        <f>"9783030948818"</f>
        <v>9783030948818</v>
      </c>
      <c r="D3626" t="str">
        <f>"9783030948825"</f>
        <v>9783030948825</v>
      </c>
      <c r="E3626" t="s">
        <v>756</v>
      </c>
      <c r="F3626" s="1">
        <v>44685</v>
      </c>
    </row>
    <row r="3627" spans="1:6" x14ac:dyDescent="0.25">
      <c r="A3627">
        <v>6977385</v>
      </c>
      <c r="B3627" t="s">
        <v>3675</v>
      </c>
      <c r="C3627" t="str">
        <f>"9783030973629"</f>
        <v>9783030973629</v>
      </c>
      <c r="D3627" t="str">
        <f>"9783030973636"</f>
        <v>9783030973636</v>
      </c>
      <c r="E3627" t="s">
        <v>756</v>
      </c>
      <c r="F3627" s="1">
        <v>44717</v>
      </c>
    </row>
    <row r="3628" spans="1:6" x14ac:dyDescent="0.25">
      <c r="A3628">
        <v>6977401</v>
      </c>
      <c r="B3628" t="s">
        <v>3676</v>
      </c>
      <c r="C3628" t="str">
        <f>"9783030856786"</f>
        <v>9783030856786</v>
      </c>
      <c r="D3628" t="str">
        <f>"9783030856793"</f>
        <v>9783030856793</v>
      </c>
      <c r="E3628" t="s">
        <v>756</v>
      </c>
      <c r="F3628" s="1">
        <v>44688</v>
      </c>
    </row>
    <row r="3629" spans="1:6" x14ac:dyDescent="0.25">
      <c r="A3629">
        <v>6977534</v>
      </c>
      <c r="B3629" t="s">
        <v>3677</v>
      </c>
      <c r="C3629" t="str">
        <f>""</f>
        <v/>
      </c>
      <c r="D3629" t="str">
        <f>"9789179293147"</f>
        <v>9789179293147</v>
      </c>
      <c r="E3629" t="s">
        <v>1004</v>
      </c>
      <c r="F3629" s="1">
        <v>44687</v>
      </c>
    </row>
    <row r="3630" spans="1:6" x14ac:dyDescent="0.25">
      <c r="A3630">
        <v>6977535</v>
      </c>
      <c r="B3630" t="s">
        <v>3678</v>
      </c>
      <c r="C3630" t="str">
        <f>""</f>
        <v/>
      </c>
      <c r="D3630" t="str">
        <f>"9789179292966"</f>
        <v>9789179292966</v>
      </c>
      <c r="E3630" t="s">
        <v>1004</v>
      </c>
      <c r="F3630" s="1">
        <v>44684</v>
      </c>
    </row>
    <row r="3631" spans="1:6" x14ac:dyDescent="0.25">
      <c r="A3631">
        <v>6977539</v>
      </c>
      <c r="B3631" t="s">
        <v>3679</v>
      </c>
      <c r="C3631" t="str">
        <f>""</f>
        <v/>
      </c>
      <c r="D3631" t="str">
        <f>"9789179293536"</f>
        <v>9789179293536</v>
      </c>
      <c r="E3631" t="s">
        <v>1004</v>
      </c>
      <c r="F3631" s="1">
        <v>44686</v>
      </c>
    </row>
    <row r="3632" spans="1:6" x14ac:dyDescent="0.25">
      <c r="A3632">
        <v>6977609</v>
      </c>
      <c r="B3632" t="s">
        <v>3680</v>
      </c>
      <c r="C3632" t="str">
        <f>"9781644698228"</f>
        <v>9781644698228</v>
      </c>
      <c r="D3632" t="str">
        <f>"9781644698266"</f>
        <v>9781644698266</v>
      </c>
      <c r="E3632" t="s">
        <v>514</v>
      </c>
      <c r="F3632" s="1">
        <v>44698</v>
      </c>
    </row>
    <row r="3633" spans="1:6" x14ac:dyDescent="0.25">
      <c r="A3633">
        <v>6977610</v>
      </c>
      <c r="B3633" t="s">
        <v>3681</v>
      </c>
      <c r="C3633" t="str">
        <f>"9781644698211"</f>
        <v>9781644698211</v>
      </c>
      <c r="D3633" t="str">
        <f>"9781644698259"</f>
        <v>9781644698259</v>
      </c>
      <c r="E3633" t="s">
        <v>514</v>
      </c>
      <c r="F3633" s="1">
        <v>44635</v>
      </c>
    </row>
    <row r="3634" spans="1:6" x14ac:dyDescent="0.25">
      <c r="A3634">
        <v>6977947</v>
      </c>
      <c r="B3634" t="s">
        <v>3682</v>
      </c>
      <c r="C3634" t="str">
        <f>"9783658363529"</f>
        <v>9783658363529</v>
      </c>
      <c r="D3634" t="str">
        <f>"9783658363536"</f>
        <v>9783658363536</v>
      </c>
      <c r="E3634" t="s">
        <v>1391</v>
      </c>
      <c r="F3634" s="1">
        <v>44728</v>
      </c>
    </row>
    <row r="3635" spans="1:6" x14ac:dyDescent="0.25">
      <c r="A3635">
        <v>6977965</v>
      </c>
      <c r="B3635" t="s">
        <v>3683</v>
      </c>
      <c r="C3635" t="str">
        <f>"9781800349261"</f>
        <v>9781800349261</v>
      </c>
      <c r="D3635" t="str">
        <f>"9781800344808"</f>
        <v>9781800344808</v>
      </c>
      <c r="E3635" t="s">
        <v>1287</v>
      </c>
      <c r="F3635" s="1">
        <v>44531</v>
      </c>
    </row>
    <row r="3636" spans="1:6" x14ac:dyDescent="0.25">
      <c r="A3636">
        <v>6977971</v>
      </c>
      <c r="B3636" t="s">
        <v>3684</v>
      </c>
      <c r="C3636" t="str">
        <f>"9781786941619"</f>
        <v>9781786941619</v>
      </c>
      <c r="D3636" t="str">
        <f>"9781786949547"</f>
        <v>9781786949547</v>
      </c>
      <c r="E3636" t="s">
        <v>1287</v>
      </c>
      <c r="F3636" s="1">
        <v>43500</v>
      </c>
    </row>
    <row r="3637" spans="1:6" x14ac:dyDescent="0.25">
      <c r="A3637">
        <v>6978014</v>
      </c>
      <c r="B3637" t="s">
        <v>3685</v>
      </c>
      <c r="C3637" t="str">
        <f>"9783031051630"</f>
        <v>9783031051630</v>
      </c>
      <c r="D3637" t="str">
        <f>"9783031051647"</f>
        <v>9783031051647</v>
      </c>
      <c r="E3637" t="s">
        <v>756</v>
      </c>
      <c r="F3637" s="1">
        <v>44721</v>
      </c>
    </row>
    <row r="3638" spans="1:6" x14ac:dyDescent="0.25">
      <c r="A3638">
        <v>6978112</v>
      </c>
      <c r="B3638" t="s">
        <v>3686</v>
      </c>
      <c r="C3638" t="str">
        <f>""</f>
        <v/>
      </c>
      <c r="D3638" t="str">
        <f>"9781478092339"</f>
        <v>9781478092339</v>
      </c>
      <c r="E3638" t="s">
        <v>174</v>
      </c>
      <c r="F3638" s="1">
        <v>44512</v>
      </c>
    </row>
    <row r="3639" spans="1:6" x14ac:dyDescent="0.25">
      <c r="A3639">
        <v>6978119</v>
      </c>
      <c r="B3639" t="s">
        <v>3687</v>
      </c>
      <c r="C3639" t="str">
        <f>"9781780409115"</f>
        <v>9781780409115</v>
      </c>
      <c r="D3639" t="str">
        <f>"9781780409122"</f>
        <v>9781780409122</v>
      </c>
      <c r="E3639" t="s">
        <v>570</v>
      </c>
      <c r="F3639" s="1">
        <v>44331</v>
      </c>
    </row>
    <row r="3640" spans="1:6" x14ac:dyDescent="0.25">
      <c r="A3640">
        <v>6978121</v>
      </c>
      <c r="B3640" t="s">
        <v>3688</v>
      </c>
      <c r="C3640" t="str">
        <f>"9781780409269"</f>
        <v>9781780409269</v>
      </c>
      <c r="D3640" t="str">
        <f>"9781780409252"</f>
        <v>9781780409252</v>
      </c>
      <c r="E3640" t="s">
        <v>570</v>
      </c>
      <c r="F3640" s="1">
        <v>43784</v>
      </c>
    </row>
    <row r="3641" spans="1:6" x14ac:dyDescent="0.25">
      <c r="A3641">
        <v>6978139</v>
      </c>
      <c r="B3641" t="s">
        <v>3689</v>
      </c>
      <c r="C3641" t="str">
        <f>"9781789060959"</f>
        <v>9781789060959</v>
      </c>
      <c r="D3641" t="str">
        <f>"9781789060966"</f>
        <v>9781789060966</v>
      </c>
      <c r="E3641" t="s">
        <v>570</v>
      </c>
      <c r="F3641" s="1">
        <v>44119</v>
      </c>
    </row>
    <row r="3642" spans="1:6" x14ac:dyDescent="0.25">
      <c r="A3642">
        <v>6978141</v>
      </c>
      <c r="B3642" t="s">
        <v>3690</v>
      </c>
      <c r="C3642" t="str">
        <f>"9781789061048"</f>
        <v>9781789061048</v>
      </c>
      <c r="D3642" t="str">
        <f>"9781789061055"</f>
        <v>9781789061055</v>
      </c>
      <c r="E3642" t="s">
        <v>570</v>
      </c>
      <c r="F3642" s="1">
        <v>44423</v>
      </c>
    </row>
    <row r="3643" spans="1:6" x14ac:dyDescent="0.25">
      <c r="A3643">
        <v>6978149</v>
      </c>
      <c r="B3643" t="s">
        <v>3691</v>
      </c>
      <c r="C3643" t="str">
        <f>"9781789062113"</f>
        <v>9781789062113</v>
      </c>
      <c r="D3643" t="str">
        <f>"9781789062120"</f>
        <v>9781789062120</v>
      </c>
      <c r="E3643" t="s">
        <v>570</v>
      </c>
      <c r="F3643" s="1">
        <v>44331</v>
      </c>
    </row>
    <row r="3644" spans="1:6" x14ac:dyDescent="0.25">
      <c r="A3644">
        <v>6978159</v>
      </c>
      <c r="B3644" t="s">
        <v>3692</v>
      </c>
      <c r="C3644" t="str">
        <f>"9781789062588"</f>
        <v>9781789062588</v>
      </c>
      <c r="D3644" t="str">
        <f>"9781789062595"</f>
        <v>9781789062595</v>
      </c>
      <c r="E3644" t="s">
        <v>570</v>
      </c>
      <c r="F3644" s="1">
        <v>44484</v>
      </c>
    </row>
    <row r="3645" spans="1:6" x14ac:dyDescent="0.25">
      <c r="A3645">
        <v>6978160</v>
      </c>
      <c r="B3645" t="s">
        <v>3693</v>
      </c>
      <c r="C3645" t="str">
        <f>""</f>
        <v/>
      </c>
      <c r="D3645" t="str">
        <f>"9788490489857"</f>
        <v>9788490489857</v>
      </c>
      <c r="E3645" t="s">
        <v>570</v>
      </c>
      <c r="F3645" s="1">
        <v>44301</v>
      </c>
    </row>
    <row r="3646" spans="1:6" x14ac:dyDescent="0.25">
      <c r="A3646">
        <v>6978161</v>
      </c>
      <c r="B3646" t="s">
        <v>3694</v>
      </c>
      <c r="C3646" t="str">
        <f>"9780975747506"</f>
        <v>9780975747506</v>
      </c>
      <c r="D3646" t="str">
        <f>"9780975747513"</f>
        <v>9780975747513</v>
      </c>
      <c r="E3646" t="s">
        <v>578</v>
      </c>
      <c r="F3646" s="1">
        <v>38412</v>
      </c>
    </row>
    <row r="3647" spans="1:6" x14ac:dyDescent="0.25">
      <c r="A3647">
        <v>6978162</v>
      </c>
      <c r="B3647" t="s">
        <v>3695</v>
      </c>
      <c r="C3647" t="str">
        <f>"9780975747544"</f>
        <v>9780975747544</v>
      </c>
      <c r="D3647" t="str">
        <f>"9780975747551"</f>
        <v>9780975747551</v>
      </c>
      <c r="E3647" t="s">
        <v>578</v>
      </c>
      <c r="F3647" s="1">
        <v>38657</v>
      </c>
    </row>
    <row r="3648" spans="1:6" x14ac:dyDescent="0.25">
      <c r="A3648">
        <v>6978163</v>
      </c>
      <c r="B3648" t="s">
        <v>3696</v>
      </c>
      <c r="C3648" t="str">
        <f>"9780980361667"</f>
        <v>9780980361667</v>
      </c>
      <c r="D3648" t="str">
        <f>"9780980361674"</f>
        <v>9780980361674</v>
      </c>
      <c r="E3648" t="s">
        <v>578</v>
      </c>
      <c r="F3648" s="1">
        <v>39630</v>
      </c>
    </row>
    <row r="3649" spans="1:6" x14ac:dyDescent="0.25">
      <c r="A3649">
        <v>6978164</v>
      </c>
      <c r="B3649" t="s">
        <v>3697</v>
      </c>
      <c r="C3649" t="str">
        <f>"9780980361681"</f>
        <v>9780980361681</v>
      </c>
      <c r="D3649" t="str">
        <f>"9780980361698"</f>
        <v>9780980361698</v>
      </c>
      <c r="E3649" t="s">
        <v>578</v>
      </c>
      <c r="F3649" s="1">
        <v>40391</v>
      </c>
    </row>
    <row r="3650" spans="1:6" x14ac:dyDescent="0.25">
      <c r="A3650">
        <v>6978165</v>
      </c>
      <c r="B3650" t="s">
        <v>3698</v>
      </c>
      <c r="C3650" t="str">
        <f>"9780980464801"</f>
        <v>9780980464801</v>
      </c>
      <c r="D3650" t="str">
        <f>"9780980464818"</f>
        <v>9780980464818</v>
      </c>
      <c r="E3650" t="s">
        <v>578</v>
      </c>
      <c r="F3650" s="1">
        <v>39692</v>
      </c>
    </row>
    <row r="3651" spans="1:6" x14ac:dyDescent="0.25">
      <c r="A3651">
        <v>6978166</v>
      </c>
      <c r="B3651" t="s">
        <v>3699</v>
      </c>
      <c r="C3651" t="str">
        <f>"9780980464825"</f>
        <v>9780980464825</v>
      </c>
      <c r="D3651" t="str">
        <f>"9780980464832"</f>
        <v>9780980464832</v>
      </c>
      <c r="E3651" t="s">
        <v>578</v>
      </c>
      <c r="F3651" s="1">
        <v>39995</v>
      </c>
    </row>
    <row r="3652" spans="1:6" x14ac:dyDescent="0.25">
      <c r="A3652">
        <v>6978167</v>
      </c>
      <c r="B3652" t="s">
        <v>3700</v>
      </c>
      <c r="C3652" t="str">
        <f>"9780980464849"</f>
        <v>9780980464849</v>
      </c>
      <c r="D3652" t="str">
        <f>"9780980464856"</f>
        <v>9780980464856</v>
      </c>
      <c r="E3652" t="s">
        <v>578</v>
      </c>
      <c r="F3652" s="1">
        <v>39965</v>
      </c>
    </row>
    <row r="3653" spans="1:6" x14ac:dyDescent="0.25">
      <c r="A3653">
        <v>6978168</v>
      </c>
      <c r="B3653" t="s">
        <v>3701</v>
      </c>
      <c r="C3653" t="str">
        <f>"9780980464863"</f>
        <v>9780980464863</v>
      </c>
      <c r="D3653" t="str">
        <f>"9780980464870"</f>
        <v>9780980464870</v>
      </c>
      <c r="E3653" t="s">
        <v>578</v>
      </c>
      <c r="F3653" s="1">
        <v>40026</v>
      </c>
    </row>
    <row r="3654" spans="1:6" x14ac:dyDescent="0.25">
      <c r="A3654">
        <v>6978169</v>
      </c>
      <c r="B3654" t="s">
        <v>3702</v>
      </c>
      <c r="C3654" t="str">
        <f>"9780980464887"</f>
        <v>9780980464887</v>
      </c>
      <c r="D3654" t="str">
        <f>"9780980464894"</f>
        <v>9780980464894</v>
      </c>
      <c r="E3654" t="s">
        <v>578</v>
      </c>
      <c r="F3654" s="1">
        <v>40299</v>
      </c>
    </row>
    <row r="3655" spans="1:6" x14ac:dyDescent="0.25">
      <c r="A3655">
        <v>6978170</v>
      </c>
      <c r="B3655" t="s">
        <v>3703</v>
      </c>
      <c r="C3655" t="str">
        <f>"9780980510805"</f>
        <v>9780980510805</v>
      </c>
      <c r="D3655" t="str">
        <f>"9780980510812"</f>
        <v>9780980510812</v>
      </c>
      <c r="E3655" t="s">
        <v>578</v>
      </c>
      <c r="F3655" s="1">
        <v>39661</v>
      </c>
    </row>
    <row r="3656" spans="1:6" x14ac:dyDescent="0.25">
      <c r="A3656">
        <v>6978171</v>
      </c>
      <c r="B3656" t="s">
        <v>3704</v>
      </c>
      <c r="C3656" t="str">
        <f>"9780980510829"</f>
        <v>9780980510829</v>
      </c>
      <c r="D3656" t="str">
        <f>"9780980510836"</f>
        <v>9780980510836</v>
      </c>
      <c r="E3656" t="s">
        <v>578</v>
      </c>
      <c r="F3656" s="1">
        <v>39661</v>
      </c>
    </row>
    <row r="3657" spans="1:6" x14ac:dyDescent="0.25">
      <c r="A3657">
        <v>6978172</v>
      </c>
      <c r="B3657" t="s">
        <v>3705</v>
      </c>
      <c r="C3657" t="str">
        <f>"9780980510843"</f>
        <v>9780980510843</v>
      </c>
      <c r="D3657" t="str">
        <f>"9780980510850"</f>
        <v>9780980510850</v>
      </c>
      <c r="E3657" t="s">
        <v>578</v>
      </c>
      <c r="F3657" s="1">
        <v>40238</v>
      </c>
    </row>
    <row r="3658" spans="1:6" x14ac:dyDescent="0.25">
      <c r="A3658">
        <v>6978173</v>
      </c>
      <c r="B3658" t="s">
        <v>3706</v>
      </c>
      <c r="C3658" t="str">
        <f>"9780980651249"</f>
        <v>9780980651249</v>
      </c>
      <c r="D3658" t="str">
        <f>"9780980651256"</f>
        <v>9780980651256</v>
      </c>
      <c r="E3658" t="s">
        <v>578</v>
      </c>
      <c r="F3658" s="1">
        <v>40588</v>
      </c>
    </row>
    <row r="3659" spans="1:6" x14ac:dyDescent="0.25">
      <c r="A3659">
        <v>6978174</v>
      </c>
      <c r="B3659" t="s">
        <v>3707</v>
      </c>
      <c r="C3659" t="str">
        <f>"9781876924171"</f>
        <v>9781876924171</v>
      </c>
      <c r="D3659" t="str">
        <f>"9781876924560"</f>
        <v>9781876924560</v>
      </c>
      <c r="E3659" t="s">
        <v>578</v>
      </c>
      <c r="F3659" s="1">
        <v>42597</v>
      </c>
    </row>
    <row r="3660" spans="1:6" x14ac:dyDescent="0.25">
      <c r="A3660">
        <v>6978175</v>
      </c>
      <c r="B3660" t="s">
        <v>3708</v>
      </c>
      <c r="C3660" t="str">
        <f>"9781925377040"</f>
        <v>9781925377040</v>
      </c>
      <c r="D3660" t="str">
        <f>"9781876924829"</f>
        <v>9781876924829</v>
      </c>
      <c r="E3660" t="s">
        <v>578</v>
      </c>
      <c r="F3660" s="1">
        <v>42487</v>
      </c>
    </row>
    <row r="3661" spans="1:6" x14ac:dyDescent="0.25">
      <c r="A3661">
        <v>6978176</v>
      </c>
      <c r="B3661" t="s">
        <v>3709</v>
      </c>
      <c r="C3661" t="str">
        <f>"9781921867040"</f>
        <v>9781921867040</v>
      </c>
      <c r="D3661" t="str">
        <f>"9781921867057"</f>
        <v>9781921867057</v>
      </c>
      <c r="E3661" t="s">
        <v>578</v>
      </c>
      <c r="F3661" s="1">
        <v>40994</v>
      </c>
    </row>
    <row r="3662" spans="1:6" x14ac:dyDescent="0.25">
      <c r="A3662">
        <v>6978178</v>
      </c>
      <c r="B3662" t="s">
        <v>3710</v>
      </c>
      <c r="C3662" t="str">
        <f>"9781921867200"</f>
        <v>9781921867200</v>
      </c>
      <c r="D3662" t="str">
        <f>"9781921867217"</f>
        <v>9781921867217</v>
      </c>
      <c r="E3662" t="s">
        <v>578</v>
      </c>
      <c r="F3662" s="1">
        <v>40790</v>
      </c>
    </row>
    <row r="3663" spans="1:6" x14ac:dyDescent="0.25">
      <c r="A3663">
        <v>6978179</v>
      </c>
      <c r="B3663" t="s">
        <v>3711</v>
      </c>
      <c r="C3663" t="str">
        <f>"9781921867224"</f>
        <v>9781921867224</v>
      </c>
      <c r="D3663" t="str">
        <f>"9781921867231"</f>
        <v>9781921867231</v>
      </c>
      <c r="E3663" t="s">
        <v>578</v>
      </c>
      <c r="F3663" s="1">
        <v>40872</v>
      </c>
    </row>
    <row r="3664" spans="1:6" x14ac:dyDescent="0.25">
      <c r="A3664">
        <v>6978180</v>
      </c>
      <c r="B3664" t="s">
        <v>3712</v>
      </c>
      <c r="C3664" t="str">
        <f>"9781921867286"</f>
        <v>9781921867286</v>
      </c>
      <c r="D3664" t="str">
        <f>"9781921867293"</f>
        <v>9781921867293</v>
      </c>
      <c r="E3664" t="s">
        <v>578</v>
      </c>
      <c r="F3664" s="1">
        <v>41134</v>
      </c>
    </row>
    <row r="3665" spans="1:6" x14ac:dyDescent="0.25">
      <c r="A3665">
        <v>6978181</v>
      </c>
      <c r="B3665" t="s">
        <v>3713</v>
      </c>
      <c r="C3665" t="str">
        <f>"9781921867309"</f>
        <v>9781921867309</v>
      </c>
      <c r="D3665" t="str">
        <f>"9781921867316"</f>
        <v>9781921867316</v>
      </c>
      <c r="E3665" t="s">
        <v>578</v>
      </c>
      <c r="F3665" s="1">
        <v>41134</v>
      </c>
    </row>
    <row r="3666" spans="1:6" x14ac:dyDescent="0.25">
      <c r="A3666">
        <v>6978182</v>
      </c>
      <c r="B3666" t="s">
        <v>3714</v>
      </c>
      <c r="C3666" t="str">
        <f>"9781921867323"</f>
        <v>9781921867323</v>
      </c>
      <c r="D3666" t="str">
        <f>"9781921867330"</f>
        <v>9781921867330</v>
      </c>
      <c r="E3666" t="s">
        <v>578</v>
      </c>
      <c r="F3666" s="1">
        <v>41176</v>
      </c>
    </row>
    <row r="3667" spans="1:6" x14ac:dyDescent="0.25">
      <c r="A3667">
        <v>6978183</v>
      </c>
      <c r="B3667" t="s">
        <v>3715</v>
      </c>
      <c r="C3667" t="str">
        <f>"9781921867484"</f>
        <v>9781921867484</v>
      </c>
      <c r="D3667" t="str">
        <f>"9781921867491"</f>
        <v>9781921867491</v>
      </c>
      <c r="E3667" t="s">
        <v>578</v>
      </c>
      <c r="F3667" s="1">
        <v>41218</v>
      </c>
    </row>
    <row r="3668" spans="1:6" x14ac:dyDescent="0.25">
      <c r="A3668">
        <v>6978184</v>
      </c>
      <c r="B3668" t="s">
        <v>3716</v>
      </c>
      <c r="C3668" t="str">
        <f>"9781921867521"</f>
        <v>9781921867521</v>
      </c>
      <c r="D3668" t="str">
        <f>"9781921867538"</f>
        <v>9781921867538</v>
      </c>
      <c r="E3668" t="s">
        <v>578</v>
      </c>
      <c r="F3668" s="1">
        <v>41162</v>
      </c>
    </row>
    <row r="3669" spans="1:6" x14ac:dyDescent="0.25">
      <c r="A3669">
        <v>6978185</v>
      </c>
      <c r="B3669" t="s">
        <v>3717</v>
      </c>
      <c r="C3669" t="str">
        <f>"9781921867620"</f>
        <v>9781921867620</v>
      </c>
      <c r="D3669" t="str">
        <f>"9781921867637"</f>
        <v>9781921867637</v>
      </c>
      <c r="E3669" t="s">
        <v>578</v>
      </c>
      <c r="F3669" s="1">
        <v>41759</v>
      </c>
    </row>
    <row r="3670" spans="1:6" x14ac:dyDescent="0.25">
      <c r="A3670">
        <v>6978186</v>
      </c>
      <c r="B3670" t="s">
        <v>3718</v>
      </c>
      <c r="C3670" t="str">
        <f>"9781921867866"</f>
        <v>9781921867866</v>
      </c>
      <c r="D3670" t="str">
        <f>"9781921867873"</f>
        <v>9781921867873</v>
      </c>
      <c r="E3670" t="s">
        <v>578</v>
      </c>
      <c r="F3670" s="1">
        <v>41596</v>
      </c>
    </row>
    <row r="3671" spans="1:6" x14ac:dyDescent="0.25">
      <c r="A3671">
        <v>6978187</v>
      </c>
      <c r="B3671" t="s">
        <v>3719</v>
      </c>
      <c r="C3671" t="str">
        <f>"9781921867989"</f>
        <v>9781921867989</v>
      </c>
      <c r="D3671" t="str">
        <f>"9781921867972"</f>
        <v>9781921867972</v>
      </c>
      <c r="E3671" t="s">
        <v>578</v>
      </c>
      <c r="F3671" s="1">
        <v>41244</v>
      </c>
    </row>
    <row r="3672" spans="1:6" x14ac:dyDescent="0.25">
      <c r="A3672">
        <v>6978188</v>
      </c>
      <c r="B3672" t="s">
        <v>3720</v>
      </c>
      <c r="C3672" t="str">
        <f>"9781922235107"</f>
        <v>9781922235107</v>
      </c>
      <c r="D3672" t="str">
        <f>"9781922235114"</f>
        <v>9781922235114</v>
      </c>
      <c r="E3672" t="s">
        <v>578</v>
      </c>
      <c r="F3672" s="1">
        <v>42004</v>
      </c>
    </row>
    <row r="3673" spans="1:6" x14ac:dyDescent="0.25">
      <c r="A3673">
        <v>6978189</v>
      </c>
      <c r="B3673" t="s">
        <v>3721</v>
      </c>
      <c r="C3673" t="str">
        <f>"9781922235121"</f>
        <v>9781922235121</v>
      </c>
      <c r="D3673" t="str">
        <f>"9781922235138"</f>
        <v>9781922235138</v>
      </c>
      <c r="E3673" t="s">
        <v>578</v>
      </c>
      <c r="F3673" s="1">
        <v>41718</v>
      </c>
    </row>
    <row r="3674" spans="1:6" x14ac:dyDescent="0.25">
      <c r="A3674">
        <v>6978191</v>
      </c>
      <c r="B3674" t="s">
        <v>3722</v>
      </c>
      <c r="C3674" t="str">
        <f>"9781922235220"</f>
        <v>9781922235220</v>
      </c>
      <c r="D3674" t="str">
        <f>"9781922235237"</f>
        <v>9781922235237</v>
      </c>
      <c r="E3674" t="s">
        <v>578</v>
      </c>
      <c r="F3674" s="1">
        <v>41508</v>
      </c>
    </row>
    <row r="3675" spans="1:6" x14ac:dyDescent="0.25">
      <c r="A3675">
        <v>6978192</v>
      </c>
      <c r="B3675" t="s">
        <v>3723</v>
      </c>
      <c r="C3675" t="str">
        <f>"9781922235510"</f>
        <v>9781922235510</v>
      </c>
      <c r="D3675" t="str">
        <f>"9781922235527"</f>
        <v>9781922235527</v>
      </c>
      <c r="E3675" t="s">
        <v>578</v>
      </c>
      <c r="F3675" s="1">
        <v>42370</v>
      </c>
    </row>
    <row r="3676" spans="1:6" x14ac:dyDescent="0.25">
      <c r="A3676">
        <v>6978193</v>
      </c>
      <c r="B3676" t="s">
        <v>3724</v>
      </c>
      <c r="C3676" t="str">
        <f>"9781922235862"</f>
        <v>9781922235862</v>
      </c>
      <c r="D3676" t="str">
        <f>"9781922235879"</f>
        <v>9781922235879</v>
      </c>
      <c r="E3676" t="s">
        <v>578</v>
      </c>
      <c r="F3676" s="1">
        <v>42370</v>
      </c>
    </row>
    <row r="3677" spans="1:6" x14ac:dyDescent="0.25">
      <c r="A3677">
        <v>6978194</v>
      </c>
      <c r="B3677" t="s">
        <v>3725</v>
      </c>
      <c r="C3677" t="str">
        <f>"9781925377026"</f>
        <v>9781925377026</v>
      </c>
      <c r="D3677" t="str">
        <f>"9781925377033"</f>
        <v>9781925377033</v>
      </c>
      <c r="E3677" t="s">
        <v>578</v>
      </c>
      <c r="F3677" s="1">
        <v>42590</v>
      </c>
    </row>
    <row r="3678" spans="1:6" x14ac:dyDescent="0.25">
      <c r="A3678">
        <v>6978195</v>
      </c>
      <c r="B3678" t="s">
        <v>3726</v>
      </c>
      <c r="C3678" t="str">
        <f>"9781925377101"</f>
        <v>9781925377101</v>
      </c>
      <c r="D3678" t="str">
        <f>"9781925377118"</f>
        <v>9781925377118</v>
      </c>
      <c r="E3678" t="s">
        <v>578</v>
      </c>
      <c r="F3678" s="1">
        <v>42653</v>
      </c>
    </row>
    <row r="3679" spans="1:6" x14ac:dyDescent="0.25">
      <c r="A3679">
        <v>6978196</v>
      </c>
      <c r="B3679" t="s">
        <v>3727</v>
      </c>
      <c r="C3679" t="str">
        <f>"9781925377125"</f>
        <v>9781925377125</v>
      </c>
      <c r="D3679" t="str">
        <f>"9781925377132"</f>
        <v>9781925377132</v>
      </c>
      <c r="E3679" t="s">
        <v>578</v>
      </c>
      <c r="F3679" s="1">
        <v>42702</v>
      </c>
    </row>
    <row r="3680" spans="1:6" x14ac:dyDescent="0.25">
      <c r="A3680">
        <v>6978197</v>
      </c>
      <c r="B3680" t="s">
        <v>3728</v>
      </c>
      <c r="C3680" t="str">
        <f>"9781925377149"</f>
        <v>9781925377149</v>
      </c>
      <c r="D3680" t="str">
        <f>"9781925377156"</f>
        <v>9781925377156</v>
      </c>
      <c r="E3680" t="s">
        <v>578</v>
      </c>
      <c r="F3680" s="1">
        <v>42561</v>
      </c>
    </row>
    <row r="3681" spans="1:6" x14ac:dyDescent="0.25">
      <c r="A3681">
        <v>6978198</v>
      </c>
      <c r="B3681" t="s">
        <v>3729</v>
      </c>
      <c r="C3681" t="str">
        <f>"9781925377248"</f>
        <v>9781925377248</v>
      </c>
      <c r="D3681" t="str">
        <f>"9781925377255"</f>
        <v>9781925377255</v>
      </c>
      <c r="E3681" t="s">
        <v>578</v>
      </c>
      <c r="F3681" s="1">
        <v>42678</v>
      </c>
    </row>
    <row r="3682" spans="1:6" x14ac:dyDescent="0.25">
      <c r="A3682">
        <v>6978200</v>
      </c>
      <c r="B3682" t="s">
        <v>3730</v>
      </c>
      <c r="C3682" t="str">
        <f>"9781925495102"</f>
        <v>9781925495102</v>
      </c>
      <c r="D3682" t="str">
        <f>"9781925495126"</f>
        <v>9781925495126</v>
      </c>
      <c r="E3682" t="s">
        <v>578</v>
      </c>
      <c r="F3682" s="1">
        <v>42702</v>
      </c>
    </row>
    <row r="3683" spans="1:6" x14ac:dyDescent="0.25">
      <c r="A3683">
        <v>6978201</v>
      </c>
      <c r="B3683" t="s">
        <v>3731</v>
      </c>
      <c r="C3683" t="str">
        <f>"9781925495294"</f>
        <v>9781925495294</v>
      </c>
      <c r="D3683" t="str">
        <f>"9781925495300"</f>
        <v>9781925495300</v>
      </c>
      <c r="E3683" t="s">
        <v>578</v>
      </c>
      <c r="F3683" s="1">
        <v>42702</v>
      </c>
    </row>
    <row r="3684" spans="1:6" x14ac:dyDescent="0.25">
      <c r="A3684">
        <v>6978202</v>
      </c>
      <c r="B3684" t="s">
        <v>3732</v>
      </c>
      <c r="C3684" t="str">
        <f>"9781925495409"</f>
        <v>9781925495409</v>
      </c>
      <c r="D3684" t="str">
        <f>"9781925495416"</f>
        <v>9781925495416</v>
      </c>
      <c r="E3684" t="s">
        <v>578</v>
      </c>
      <c r="F3684" s="1">
        <v>42835</v>
      </c>
    </row>
    <row r="3685" spans="1:6" x14ac:dyDescent="0.25">
      <c r="A3685">
        <v>6978203</v>
      </c>
      <c r="B3685" t="s">
        <v>3733</v>
      </c>
      <c r="C3685" t="str">
        <f>"9781925495577"</f>
        <v>9781925495577</v>
      </c>
      <c r="D3685" t="str">
        <f>"9781925495584"</f>
        <v>9781925495584</v>
      </c>
      <c r="E3685" t="s">
        <v>578</v>
      </c>
      <c r="F3685" s="1">
        <v>42926</v>
      </c>
    </row>
    <row r="3686" spans="1:6" x14ac:dyDescent="0.25">
      <c r="A3686">
        <v>6978204</v>
      </c>
      <c r="B3686" t="s">
        <v>3734</v>
      </c>
      <c r="C3686" t="str">
        <f>"9781925495799"</f>
        <v>9781925495799</v>
      </c>
      <c r="D3686" t="str">
        <f>"9781925495812"</f>
        <v>9781925495812</v>
      </c>
      <c r="E3686" t="s">
        <v>578</v>
      </c>
      <c r="F3686" s="1">
        <v>43405</v>
      </c>
    </row>
    <row r="3687" spans="1:6" x14ac:dyDescent="0.25">
      <c r="A3687">
        <v>6978205</v>
      </c>
      <c r="B3687" t="s">
        <v>3735</v>
      </c>
      <c r="C3687" t="str">
        <f>"9781925495881"</f>
        <v>9781925495881</v>
      </c>
      <c r="D3687" t="str">
        <f>"9781925495898"</f>
        <v>9781925495898</v>
      </c>
      <c r="E3687" t="s">
        <v>578</v>
      </c>
      <c r="F3687" s="1">
        <v>43101</v>
      </c>
    </row>
    <row r="3688" spans="1:6" x14ac:dyDescent="0.25">
      <c r="A3688">
        <v>6978207</v>
      </c>
      <c r="B3688" t="s">
        <v>3736</v>
      </c>
      <c r="C3688" t="str">
        <f>"9780975747575"</f>
        <v>9780975747575</v>
      </c>
      <c r="D3688" t="str">
        <f>"9781925495942"</f>
        <v>9781925495942</v>
      </c>
      <c r="E3688" t="s">
        <v>578</v>
      </c>
      <c r="F3688" s="1">
        <v>38930</v>
      </c>
    </row>
    <row r="3689" spans="1:6" x14ac:dyDescent="0.25">
      <c r="A3689">
        <v>6978208</v>
      </c>
      <c r="B3689" t="s">
        <v>3737</v>
      </c>
      <c r="C3689" t="str">
        <f>"9780980361643"</f>
        <v>9780980361643</v>
      </c>
      <c r="D3689" t="str">
        <f>"9781925495973"</f>
        <v>9781925495973</v>
      </c>
      <c r="E3689" t="s">
        <v>578</v>
      </c>
      <c r="F3689" s="1">
        <v>39387</v>
      </c>
    </row>
    <row r="3690" spans="1:6" x14ac:dyDescent="0.25">
      <c r="A3690">
        <v>6978209</v>
      </c>
      <c r="B3690" t="s">
        <v>3738</v>
      </c>
      <c r="C3690" t="str">
        <f>"9780980361629"</f>
        <v>9780980361629</v>
      </c>
      <c r="D3690" t="str">
        <f>"9781925495980"</f>
        <v>9781925495980</v>
      </c>
      <c r="E3690" t="s">
        <v>578</v>
      </c>
      <c r="F3690" s="1">
        <v>39326</v>
      </c>
    </row>
    <row r="3691" spans="1:6" x14ac:dyDescent="0.25">
      <c r="A3691">
        <v>6978210</v>
      </c>
      <c r="B3691" t="s">
        <v>3739</v>
      </c>
      <c r="C3691" t="str">
        <f>"9781925523249"</f>
        <v>9781925523249</v>
      </c>
      <c r="D3691" t="str">
        <f>"9781925523256"</f>
        <v>9781925523256</v>
      </c>
      <c r="E3691" t="s">
        <v>578</v>
      </c>
      <c r="F3691" s="1">
        <v>43070</v>
      </c>
    </row>
    <row r="3692" spans="1:6" x14ac:dyDescent="0.25">
      <c r="A3692">
        <v>6978211</v>
      </c>
      <c r="B3692" t="s">
        <v>3740</v>
      </c>
      <c r="C3692" t="str">
        <f>"9781925523805"</f>
        <v>9781925523805</v>
      </c>
      <c r="D3692" t="str">
        <f>"9781925523812"</f>
        <v>9781925523812</v>
      </c>
      <c r="E3692" t="s">
        <v>578</v>
      </c>
      <c r="F3692" s="1">
        <v>43334</v>
      </c>
    </row>
    <row r="3693" spans="1:6" x14ac:dyDescent="0.25">
      <c r="A3693">
        <v>6978213</v>
      </c>
      <c r="B3693" t="s">
        <v>3741</v>
      </c>
      <c r="C3693" t="str">
        <f>"9783030479930"</f>
        <v>9783030479930</v>
      </c>
      <c r="D3693" t="str">
        <f>"9783030479947"</f>
        <v>9783030479947</v>
      </c>
      <c r="E3693" t="s">
        <v>756</v>
      </c>
      <c r="F3693" s="1">
        <v>44044</v>
      </c>
    </row>
    <row r="3694" spans="1:6" x14ac:dyDescent="0.25">
      <c r="A3694">
        <v>6978216</v>
      </c>
      <c r="B3694" t="s">
        <v>3742</v>
      </c>
      <c r="C3694" t="str">
        <f>"9789633864319"</f>
        <v>9789633864319</v>
      </c>
      <c r="D3694" t="str">
        <f>"9789633864326"</f>
        <v>9789633864326</v>
      </c>
      <c r="E3694" t="s">
        <v>576</v>
      </c>
      <c r="F3694" s="1">
        <v>44834</v>
      </c>
    </row>
    <row r="3695" spans="1:6" x14ac:dyDescent="0.25">
      <c r="A3695">
        <v>6978217</v>
      </c>
      <c r="B3695" t="s">
        <v>3743</v>
      </c>
      <c r="C3695" t="str">
        <f>"9789633864357"</f>
        <v>9789633864357</v>
      </c>
      <c r="D3695" t="str">
        <f>"9789633864364"</f>
        <v>9789633864364</v>
      </c>
      <c r="E3695" t="s">
        <v>576</v>
      </c>
      <c r="F3695" s="1">
        <v>44754</v>
      </c>
    </row>
    <row r="3696" spans="1:6" x14ac:dyDescent="0.25">
      <c r="A3696">
        <v>6978218</v>
      </c>
      <c r="B3696" t="s">
        <v>3744</v>
      </c>
      <c r="C3696" t="str">
        <f>"9789633864470"</f>
        <v>9789633864470</v>
      </c>
      <c r="D3696" t="str">
        <f>"9789633864487"</f>
        <v>9789633864487</v>
      </c>
      <c r="E3696" t="s">
        <v>576</v>
      </c>
      <c r="F3696" s="1">
        <v>44722</v>
      </c>
    </row>
    <row r="3697" spans="1:6" x14ac:dyDescent="0.25">
      <c r="A3697">
        <v>6978220</v>
      </c>
      <c r="B3697" t="s">
        <v>3745</v>
      </c>
      <c r="C3697" t="str">
        <f>"9789633864555"</f>
        <v>9789633864555</v>
      </c>
      <c r="D3697" t="str">
        <f>"9789633864562"</f>
        <v>9789633864562</v>
      </c>
      <c r="E3697" t="s">
        <v>576</v>
      </c>
      <c r="F3697" s="1">
        <v>44752</v>
      </c>
    </row>
    <row r="3698" spans="1:6" x14ac:dyDescent="0.25">
      <c r="A3698">
        <v>6978221</v>
      </c>
      <c r="B3698" t="s">
        <v>3746</v>
      </c>
      <c r="C3698" t="str">
        <f>"9789633865750"</f>
        <v>9789633865750</v>
      </c>
      <c r="D3698" t="str">
        <f>"9789633865767"</f>
        <v>9789633865767</v>
      </c>
      <c r="E3698" t="s">
        <v>576</v>
      </c>
      <c r="F3698" s="1">
        <v>44772</v>
      </c>
    </row>
    <row r="3699" spans="1:6" x14ac:dyDescent="0.25">
      <c r="A3699">
        <v>6978222</v>
      </c>
      <c r="B3699" t="s">
        <v>3747</v>
      </c>
      <c r="C3699" t="str">
        <f>"9789633865965"</f>
        <v>9789633865965</v>
      </c>
      <c r="D3699" t="str">
        <f>"9789633865828"</f>
        <v>9789633865828</v>
      </c>
      <c r="E3699" t="s">
        <v>576</v>
      </c>
      <c r="F3699" s="1">
        <v>44774</v>
      </c>
    </row>
    <row r="3700" spans="1:6" x14ac:dyDescent="0.25">
      <c r="A3700">
        <v>6978224</v>
      </c>
      <c r="B3700" t="s">
        <v>3748</v>
      </c>
      <c r="C3700" t="str">
        <f>""</f>
        <v/>
      </c>
      <c r="D3700" t="str">
        <f>"9782759234493"</f>
        <v>9782759234493</v>
      </c>
      <c r="E3700" t="s">
        <v>626</v>
      </c>
      <c r="F3700" s="1">
        <v>44700</v>
      </c>
    </row>
    <row r="3701" spans="1:6" x14ac:dyDescent="0.25">
      <c r="A3701">
        <v>6978226</v>
      </c>
      <c r="B3701" t="s">
        <v>3749</v>
      </c>
      <c r="C3701" t="str">
        <f>""</f>
        <v/>
      </c>
      <c r="D3701" t="str">
        <f>"9782759234615"</f>
        <v>9782759234615</v>
      </c>
      <c r="E3701" t="s">
        <v>626</v>
      </c>
      <c r="F3701" s="1">
        <v>44700</v>
      </c>
    </row>
    <row r="3702" spans="1:6" x14ac:dyDescent="0.25">
      <c r="A3702">
        <v>6978228</v>
      </c>
      <c r="B3702" t="s">
        <v>3750</v>
      </c>
      <c r="C3702" t="str">
        <f>""</f>
        <v/>
      </c>
      <c r="D3702" t="str">
        <f>"9782759234653"</f>
        <v>9782759234653</v>
      </c>
      <c r="E3702" t="s">
        <v>626</v>
      </c>
      <c r="F3702" s="1">
        <v>44693</v>
      </c>
    </row>
    <row r="3703" spans="1:6" x14ac:dyDescent="0.25">
      <c r="A3703">
        <v>6978229</v>
      </c>
      <c r="B3703" t="s">
        <v>3751</v>
      </c>
      <c r="C3703" t="str">
        <f>""</f>
        <v/>
      </c>
      <c r="D3703" t="str">
        <f>"9782759235001"</f>
        <v>9782759235001</v>
      </c>
      <c r="E3703" t="s">
        <v>626</v>
      </c>
      <c r="F3703" s="1">
        <v>44707</v>
      </c>
    </row>
    <row r="3704" spans="1:6" x14ac:dyDescent="0.25">
      <c r="A3704">
        <v>6978245</v>
      </c>
      <c r="B3704" t="s">
        <v>3752</v>
      </c>
      <c r="C3704" t="str">
        <f>"9783030693442"</f>
        <v>9783030693442</v>
      </c>
      <c r="D3704" t="str">
        <f>"9783030693459"</f>
        <v>9783030693459</v>
      </c>
      <c r="E3704" t="s">
        <v>756</v>
      </c>
      <c r="F3704" s="1">
        <v>44363</v>
      </c>
    </row>
    <row r="3705" spans="1:6" x14ac:dyDescent="0.25">
      <c r="A3705">
        <v>6978246</v>
      </c>
      <c r="B3705" t="s">
        <v>3753</v>
      </c>
      <c r="C3705" t="str">
        <f>"9783030748852"</f>
        <v>9783030748852</v>
      </c>
      <c r="D3705" t="str">
        <f>"9783030748869"</f>
        <v>9783030748869</v>
      </c>
      <c r="E3705" t="s">
        <v>756</v>
      </c>
      <c r="F3705" s="1">
        <v>44366</v>
      </c>
    </row>
    <row r="3706" spans="1:6" x14ac:dyDescent="0.25">
      <c r="A3706">
        <v>6978249</v>
      </c>
      <c r="B3706" t="s">
        <v>3754</v>
      </c>
      <c r="C3706" t="str">
        <f>""</f>
        <v/>
      </c>
      <c r="D3706" t="str">
        <f>"9783030778101"</f>
        <v>9783030778101</v>
      </c>
      <c r="E3706" t="s">
        <v>756</v>
      </c>
      <c r="F3706" s="1">
        <v>44705</v>
      </c>
    </row>
    <row r="3707" spans="1:6" x14ac:dyDescent="0.25">
      <c r="A3707">
        <v>6978250</v>
      </c>
      <c r="B3707" t="s">
        <v>3755</v>
      </c>
      <c r="C3707" t="str">
        <f>"9783030791100"</f>
        <v>9783030791100</v>
      </c>
      <c r="D3707" t="str">
        <f>"9783030791117"</f>
        <v>9783030791117</v>
      </c>
      <c r="E3707" t="s">
        <v>756</v>
      </c>
      <c r="F3707" s="1">
        <v>44406</v>
      </c>
    </row>
    <row r="3708" spans="1:6" x14ac:dyDescent="0.25">
      <c r="A3708">
        <v>6978251</v>
      </c>
      <c r="B3708" t="s">
        <v>3756</v>
      </c>
      <c r="C3708" t="str">
        <f>"9783030818807"</f>
        <v>9783030818807</v>
      </c>
      <c r="D3708" t="str">
        <f>"9783030818814"</f>
        <v>9783030818814</v>
      </c>
      <c r="E3708" t="s">
        <v>756</v>
      </c>
      <c r="F3708" s="1">
        <v>44807</v>
      </c>
    </row>
    <row r="3709" spans="1:6" x14ac:dyDescent="0.25">
      <c r="A3709">
        <v>6978253</v>
      </c>
      <c r="B3709" t="s">
        <v>3757</v>
      </c>
      <c r="C3709" t="str">
        <f>"9783030855314"</f>
        <v>9783030855314</v>
      </c>
      <c r="D3709" t="str">
        <f>"9783030855321"</f>
        <v>9783030855321</v>
      </c>
      <c r="E3709" t="s">
        <v>756</v>
      </c>
      <c r="F3709" s="1">
        <v>44692</v>
      </c>
    </row>
    <row r="3710" spans="1:6" x14ac:dyDescent="0.25">
      <c r="A3710">
        <v>6978255</v>
      </c>
      <c r="B3710" t="s">
        <v>3758</v>
      </c>
      <c r="C3710" t="str">
        <f>"9783030868833"</f>
        <v>9783030868833</v>
      </c>
      <c r="D3710" t="str">
        <f>"9783030868840"</f>
        <v>9783030868840</v>
      </c>
      <c r="E3710" t="s">
        <v>756</v>
      </c>
      <c r="F3710" s="1">
        <v>44709</v>
      </c>
    </row>
    <row r="3711" spans="1:6" x14ac:dyDescent="0.25">
      <c r="A3711">
        <v>6978256</v>
      </c>
      <c r="B3711" t="s">
        <v>3759</v>
      </c>
      <c r="C3711" t="str">
        <f>"9783030870447"</f>
        <v>9783030870447</v>
      </c>
      <c r="D3711" t="str">
        <f>"9783030870454"</f>
        <v>9783030870454</v>
      </c>
      <c r="E3711" t="s">
        <v>756</v>
      </c>
      <c r="F3711" s="1">
        <v>44820</v>
      </c>
    </row>
    <row r="3712" spans="1:6" x14ac:dyDescent="0.25">
      <c r="A3712">
        <v>6978259</v>
      </c>
      <c r="B3712" t="s">
        <v>3760</v>
      </c>
      <c r="C3712" t="str">
        <f>"9783030906726"</f>
        <v>9783030906726</v>
      </c>
      <c r="D3712" t="str">
        <f>"9783030906733"</f>
        <v>9783030906733</v>
      </c>
      <c r="E3712" t="s">
        <v>756</v>
      </c>
      <c r="F3712" s="1">
        <v>44759</v>
      </c>
    </row>
    <row r="3713" spans="1:6" x14ac:dyDescent="0.25">
      <c r="A3713">
        <v>6978260</v>
      </c>
      <c r="B3713" t="s">
        <v>3761</v>
      </c>
      <c r="C3713" t="str">
        <f>"9783030909970"</f>
        <v>9783030909970</v>
      </c>
      <c r="D3713" t="str">
        <f>"9783030909987"</f>
        <v>9783030909987</v>
      </c>
      <c r="E3713" t="s">
        <v>756</v>
      </c>
      <c r="F3713" s="1">
        <v>44730</v>
      </c>
    </row>
    <row r="3714" spans="1:6" x14ac:dyDescent="0.25">
      <c r="A3714">
        <v>6978261</v>
      </c>
      <c r="B3714" t="s">
        <v>3762</v>
      </c>
      <c r="C3714" t="str">
        <f>"9783030910877"</f>
        <v>9783030910877</v>
      </c>
      <c r="D3714" t="str">
        <f>"9783030910884"</f>
        <v>9783030910884</v>
      </c>
      <c r="E3714" t="s">
        <v>756</v>
      </c>
      <c r="F3714" s="1">
        <v>44832</v>
      </c>
    </row>
    <row r="3715" spans="1:6" x14ac:dyDescent="0.25">
      <c r="A3715">
        <v>6978263</v>
      </c>
      <c r="B3715" t="s">
        <v>3763</v>
      </c>
      <c r="C3715" t="str">
        <f>"9783030917159"</f>
        <v>9783030917159</v>
      </c>
      <c r="D3715" t="str">
        <f>"9783030917166"</f>
        <v>9783030917166</v>
      </c>
      <c r="E3715" t="s">
        <v>756</v>
      </c>
      <c r="F3715" s="1">
        <v>44745</v>
      </c>
    </row>
    <row r="3716" spans="1:6" x14ac:dyDescent="0.25">
      <c r="A3716">
        <v>6978265</v>
      </c>
      <c r="B3716" t="s">
        <v>3764</v>
      </c>
      <c r="C3716" t="str">
        <f>"9783030921132"</f>
        <v>9783030921132</v>
      </c>
      <c r="D3716" t="str">
        <f>"9783030921149"</f>
        <v>9783030921149</v>
      </c>
      <c r="E3716" t="s">
        <v>756</v>
      </c>
      <c r="F3716" s="1">
        <v>44752</v>
      </c>
    </row>
    <row r="3717" spans="1:6" x14ac:dyDescent="0.25">
      <c r="A3717">
        <v>6978267</v>
      </c>
      <c r="B3717" t="s">
        <v>3765</v>
      </c>
      <c r="C3717" t="str">
        <f>"9783030926977"</f>
        <v>9783030926977</v>
      </c>
      <c r="D3717" t="str">
        <f>"9783030926984"</f>
        <v>9783030926984</v>
      </c>
      <c r="E3717" t="s">
        <v>756</v>
      </c>
      <c r="F3717" s="1">
        <v>44761</v>
      </c>
    </row>
    <row r="3718" spans="1:6" x14ac:dyDescent="0.25">
      <c r="A3718">
        <v>6978268</v>
      </c>
      <c r="B3718" t="s">
        <v>3766</v>
      </c>
      <c r="C3718" t="str">
        <f>"9783030939748"</f>
        <v>9783030939748</v>
      </c>
      <c r="D3718" t="str">
        <f>"9783030939755"</f>
        <v>9783030939755</v>
      </c>
      <c r="E3718" t="s">
        <v>756</v>
      </c>
      <c r="F3718" s="1">
        <v>44800</v>
      </c>
    </row>
    <row r="3719" spans="1:6" x14ac:dyDescent="0.25">
      <c r="A3719">
        <v>6978270</v>
      </c>
      <c r="B3719" t="s">
        <v>3767</v>
      </c>
      <c r="C3719" t="str">
        <f>"9783030941369"</f>
        <v>9783030941369</v>
      </c>
      <c r="D3719" t="str">
        <f>"9783030941376"</f>
        <v>9783030941376</v>
      </c>
      <c r="E3719" t="s">
        <v>756</v>
      </c>
      <c r="F3719" s="1">
        <v>44803</v>
      </c>
    </row>
    <row r="3720" spans="1:6" x14ac:dyDescent="0.25">
      <c r="A3720">
        <v>6978272</v>
      </c>
      <c r="B3720" t="s">
        <v>3768</v>
      </c>
      <c r="C3720" t="str">
        <f>"9783030946050"</f>
        <v>9783030946050</v>
      </c>
      <c r="D3720" t="str">
        <f>"9783030946067"</f>
        <v>9783030946067</v>
      </c>
      <c r="E3720" t="s">
        <v>756</v>
      </c>
      <c r="F3720" s="1">
        <v>44968</v>
      </c>
    </row>
    <row r="3721" spans="1:6" x14ac:dyDescent="0.25">
      <c r="A3721">
        <v>6978273</v>
      </c>
      <c r="B3721" t="s">
        <v>3769</v>
      </c>
      <c r="C3721" t="str">
        <f>"9783030946906"</f>
        <v>9783030946906</v>
      </c>
      <c r="D3721" t="str">
        <f>"9783030946913"</f>
        <v>9783030946913</v>
      </c>
      <c r="E3721" t="s">
        <v>756</v>
      </c>
      <c r="F3721" s="1">
        <v>44773</v>
      </c>
    </row>
    <row r="3722" spans="1:6" x14ac:dyDescent="0.25">
      <c r="A3722">
        <v>6978274</v>
      </c>
      <c r="B3722" t="s">
        <v>3770</v>
      </c>
      <c r="C3722" t="str">
        <f>"9783030947460"</f>
        <v>9783030947460</v>
      </c>
      <c r="D3722" t="str">
        <f>"9783030947477"</f>
        <v>9783030947477</v>
      </c>
      <c r="E3722" t="s">
        <v>756</v>
      </c>
      <c r="F3722" s="1">
        <v>44764</v>
      </c>
    </row>
    <row r="3723" spans="1:6" x14ac:dyDescent="0.25">
      <c r="A3723">
        <v>6978280</v>
      </c>
      <c r="B3723" t="s">
        <v>3771</v>
      </c>
      <c r="C3723" t="str">
        <f>"9783658343057"</f>
        <v>9783658343057</v>
      </c>
      <c r="D3723" t="str">
        <f>"9783658343064"</f>
        <v>9783658343064</v>
      </c>
      <c r="E3723" t="s">
        <v>1391</v>
      </c>
      <c r="F3723" s="1">
        <v>44731</v>
      </c>
    </row>
    <row r="3724" spans="1:6" x14ac:dyDescent="0.25">
      <c r="A3724">
        <v>6978281</v>
      </c>
      <c r="B3724" t="s">
        <v>3772</v>
      </c>
      <c r="C3724" t="str">
        <f>"9783658343859"</f>
        <v>9783658343859</v>
      </c>
      <c r="D3724" t="str">
        <f>"9783658343866"</f>
        <v>9783658343866</v>
      </c>
      <c r="E3724" t="s">
        <v>1391</v>
      </c>
      <c r="F3724" s="1">
        <v>44737</v>
      </c>
    </row>
    <row r="3725" spans="1:6" x14ac:dyDescent="0.25">
      <c r="A3725">
        <v>6978283</v>
      </c>
      <c r="B3725" t="s">
        <v>3773</v>
      </c>
      <c r="C3725" t="str">
        <f>"9783658352622"</f>
        <v>9783658352622</v>
      </c>
      <c r="D3725" t="str">
        <f>"9783658352639"</f>
        <v>9783658352639</v>
      </c>
      <c r="E3725" t="s">
        <v>1391</v>
      </c>
      <c r="F3725" s="1">
        <v>44747</v>
      </c>
    </row>
    <row r="3726" spans="1:6" x14ac:dyDescent="0.25">
      <c r="A3726">
        <v>6978284</v>
      </c>
      <c r="B3726" t="s">
        <v>3774</v>
      </c>
      <c r="C3726" t="str">
        <f>"9783658353254"</f>
        <v>9783658353254</v>
      </c>
      <c r="D3726" t="str">
        <f>"9783658353261"</f>
        <v>9783658353261</v>
      </c>
      <c r="E3726" t="s">
        <v>1391</v>
      </c>
      <c r="F3726" s="1">
        <v>44730</v>
      </c>
    </row>
    <row r="3727" spans="1:6" x14ac:dyDescent="0.25">
      <c r="A3727">
        <v>6978285</v>
      </c>
      <c r="B3727" t="s">
        <v>3775</v>
      </c>
      <c r="C3727" t="str">
        <f>"9783658354558"</f>
        <v>9783658354558</v>
      </c>
      <c r="D3727" t="str">
        <f>"9783658354565"</f>
        <v>9783658354565</v>
      </c>
      <c r="E3727" t="s">
        <v>1391</v>
      </c>
      <c r="F3727" s="1">
        <v>44502</v>
      </c>
    </row>
    <row r="3728" spans="1:6" x14ac:dyDescent="0.25">
      <c r="A3728">
        <v>6978286</v>
      </c>
      <c r="B3728" t="s">
        <v>3776</v>
      </c>
      <c r="C3728" t="str">
        <f>"9783658357436"</f>
        <v>9783658357436</v>
      </c>
      <c r="D3728" t="str">
        <f>"9783658357443"</f>
        <v>9783658357443</v>
      </c>
      <c r="E3728" t="s">
        <v>1391</v>
      </c>
      <c r="F3728" s="1">
        <v>44780</v>
      </c>
    </row>
    <row r="3729" spans="1:6" x14ac:dyDescent="0.25">
      <c r="A3729">
        <v>6978287</v>
      </c>
      <c r="B3729" t="s">
        <v>3777</v>
      </c>
      <c r="C3729" t="str">
        <f>"9783658360214"</f>
        <v>9783658360214</v>
      </c>
      <c r="D3729" t="str">
        <f>"9783658360221"</f>
        <v>9783658360221</v>
      </c>
      <c r="E3729" t="s">
        <v>1391</v>
      </c>
      <c r="F3729" s="1">
        <v>44772</v>
      </c>
    </row>
    <row r="3730" spans="1:6" x14ac:dyDescent="0.25">
      <c r="A3730">
        <v>6978288</v>
      </c>
      <c r="B3730" t="s">
        <v>3778</v>
      </c>
      <c r="C3730" t="str">
        <f>"9783658361440"</f>
        <v>9783658361440</v>
      </c>
      <c r="D3730" t="str">
        <f>"9783658361457"</f>
        <v>9783658361457</v>
      </c>
      <c r="E3730" t="s">
        <v>1391</v>
      </c>
      <c r="F3730" s="1">
        <v>44734</v>
      </c>
    </row>
    <row r="3731" spans="1:6" x14ac:dyDescent="0.25">
      <c r="A3731">
        <v>6978289</v>
      </c>
      <c r="B3731" t="s">
        <v>3779</v>
      </c>
      <c r="C3731" t="str">
        <f>"9783658361785"</f>
        <v>9783658361785</v>
      </c>
      <c r="D3731" t="str">
        <f>"9783658361792"</f>
        <v>9783658361792</v>
      </c>
      <c r="E3731" t="s">
        <v>1391</v>
      </c>
      <c r="F3731" s="1">
        <v>44876</v>
      </c>
    </row>
    <row r="3732" spans="1:6" x14ac:dyDescent="0.25">
      <c r="A3732">
        <v>6978290</v>
      </c>
      <c r="B3732" t="s">
        <v>3780</v>
      </c>
      <c r="C3732" t="str">
        <f>"9783658365615"</f>
        <v>9783658365615</v>
      </c>
      <c r="D3732" t="str">
        <f>"9783658365622"</f>
        <v>9783658365622</v>
      </c>
      <c r="E3732" t="s">
        <v>1391</v>
      </c>
      <c r="F3732" s="1">
        <v>44841</v>
      </c>
    </row>
    <row r="3733" spans="1:6" x14ac:dyDescent="0.25">
      <c r="A3733">
        <v>6978291</v>
      </c>
      <c r="B3733" t="s">
        <v>3781</v>
      </c>
      <c r="C3733" t="str">
        <f>"9783658365677"</f>
        <v>9783658365677</v>
      </c>
      <c r="D3733" t="str">
        <f>"9783658365684"</f>
        <v>9783658365684</v>
      </c>
      <c r="E3733" t="s">
        <v>1391</v>
      </c>
      <c r="F3733" s="1">
        <v>44803</v>
      </c>
    </row>
    <row r="3734" spans="1:6" x14ac:dyDescent="0.25">
      <c r="A3734">
        <v>6978292</v>
      </c>
      <c r="B3734" t="s">
        <v>3782</v>
      </c>
      <c r="C3734" t="str">
        <f>"9783662634042"</f>
        <v>9783662634042</v>
      </c>
      <c r="D3734" t="str">
        <f>"9783662634059"</f>
        <v>9783662634059</v>
      </c>
      <c r="E3734" t="s">
        <v>1416</v>
      </c>
      <c r="F3734" s="1">
        <v>44720</v>
      </c>
    </row>
    <row r="3735" spans="1:6" x14ac:dyDescent="0.25">
      <c r="A3735">
        <v>6978294</v>
      </c>
      <c r="B3735" t="s">
        <v>3783</v>
      </c>
      <c r="C3735" t="str">
        <f>"9783662640708"</f>
        <v>9783662640708</v>
      </c>
      <c r="D3735" t="str">
        <f>"9783662640715"</f>
        <v>9783662640715</v>
      </c>
      <c r="E3735" t="s">
        <v>1416</v>
      </c>
      <c r="F3735" s="1">
        <v>44748</v>
      </c>
    </row>
    <row r="3736" spans="1:6" x14ac:dyDescent="0.25">
      <c r="A3736">
        <v>6978295</v>
      </c>
      <c r="B3736" t="s">
        <v>3784</v>
      </c>
      <c r="C3736" t="str">
        <f>"9783662642825"</f>
        <v>9783662642825</v>
      </c>
      <c r="D3736" t="str">
        <f>"9783662642832"</f>
        <v>9783662642832</v>
      </c>
      <c r="E3736" t="s">
        <v>1416</v>
      </c>
      <c r="F3736" s="1">
        <v>44877</v>
      </c>
    </row>
    <row r="3737" spans="1:6" x14ac:dyDescent="0.25">
      <c r="A3737">
        <v>6978296</v>
      </c>
      <c r="B3737" t="s">
        <v>3785</v>
      </c>
      <c r="C3737" t="str">
        <f>"9783662647370"</f>
        <v>9783662647370</v>
      </c>
      <c r="D3737" t="str">
        <f>"9783662647387"</f>
        <v>9783662647387</v>
      </c>
      <c r="E3737" t="s">
        <v>1852</v>
      </c>
      <c r="F3737" s="1">
        <v>44699</v>
      </c>
    </row>
    <row r="3738" spans="1:6" x14ac:dyDescent="0.25">
      <c r="A3738">
        <v>6978297</v>
      </c>
      <c r="B3738" t="s">
        <v>3786</v>
      </c>
      <c r="C3738" t="str">
        <f>"9789811501807"</f>
        <v>9789811501807</v>
      </c>
      <c r="D3738" t="str">
        <f>"9789811501814"</f>
        <v>9789811501814</v>
      </c>
      <c r="E3738" t="s">
        <v>1177</v>
      </c>
      <c r="F3738" s="1">
        <v>44895</v>
      </c>
    </row>
    <row r="3739" spans="1:6" x14ac:dyDescent="0.25">
      <c r="A3739">
        <v>6978298</v>
      </c>
      <c r="B3739" t="s">
        <v>3787</v>
      </c>
      <c r="C3739" t="str">
        <f>"9789811694035"</f>
        <v>9789811694035</v>
      </c>
      <c r="D3739" t="str">
        <f>"9789811694042"</f>
        <v>9789811694042</v>
      </c>
      <c r="E3739" t="s">
        <v>1177</v>
      </c>
      <c r="F3739" s="1">
        <v>44775</v>
      </c>
    </row>
    <row r="3740" spans="1:6" x14ac:dyDescent="0.25">
      <c r="A3740">
        <v>6978300</v>
      </c>
      <c r="B3740" t="s">
        <v>3788</v>
      </c>
      <c r="C3740" t="str">
        <f>"9780472075058"</f>
        <v>9780472075058</v>
      </c>
      <c r="D3740" t="str">
        <f>"9780472902491"</f>
        <v>9780472902491</v>
      </c>
      <c r="E3740" t="s">
        <v>689</v>
      </c>
      <c r="F3740" s="1">
        <v>44530</v>
      </c>
    </row>
    <row r="3741" spans="1:6" x14ac:dyDescent="0.25">
      <c r="A3741">
        <v>6978301</v>
      </c>
      <c r="B3741" t="s">
        <v>3789</v>
      </c>
      <c r="C3741" t="str">
        <f>"9781501514357"</f>
        <v>9781501514357</v>
      </c>
      <c r="D3741" t="str">
        <f>"9781501505133"</f>
        <v>9781501505133</v>
      </c>
      <c r="E3741" t="s">
        <v>53</v>
      </c>
      <c r="F3741" s="1">
        <v>43381</v>
      </c>
    </row>
    <row r="3742" spans="1:6" x14ac:dyDescent="0.25">
      <c r="A3742">
        <v>6978302</v>
      </c>
      <c r="B3742" t="s">
        <v>3790</v>
      </c>
      <c r="C3742" t="str">
        <f>"9781501515637"</f>
        <v>9781501515637</v>
      </c>
      <c r="D3742" t="str">
        <f>"9781501507038"</f>
        <v>9781501507038</v>
      </c>
      <c r="E3742" t="s">
        <v>53</v>
      </c>
      <c r="F3742" s="1">
        <v>44277</v>
      </c>
    </row>
    <row r="3743" spans="1:6" x14ac:dyDescent="0.25">
      <c r="A3743">
        <v>6978372</v>
      </c>
      <c r="B3743" t="s">
        <v>3791</v>
      </c>
      <c r="C3743" t="str">
        <f>"9783110463682"</f>
        <v>9783110463682</v>
      </c>
      <c r="D3743" t="str">
        <f>"9783110466133"</f>
        <v>9783110466133</v>
      </c>
      <c r="E3743" t="s">
        <v>73</v>
      </c>
      <c r="F3743" s="1">
        <v>43451</v>
      </c>
    </row>
    <row r="3744" spans="1:6" x14ac:dyDescent="0.25">
      <c r="A3744">
        <v>6978373</v>
      </c>
      <c r="B3744" t="s">
        <v>3792</v>
      </c>
      <c r="C3744" t="str">
        <f>"9783110472202"</f>
        <v>9783110472202</v>
      </c>
      <c r="D3744" t="str">
        <f>"9783110475838"</f>
        <v>9783110475838</v>
      </c>
      <c r="E3744" t="s">
        <v>53</v>
      </c>
      <c r="F3744" s="1">
        <v>42898</v>
      </c>
    </row>
    <row r="3745" spans="1:6" x14ac:dyDescent="0.25">
      <c r="A3745">
        <v>6978374</v>
      </c>
      <c r="B3745" t="s">
        <v>3793</v>
      </c>
      <c r="C3745" t="str">
        <f>"9783110479577"</f>
        <v>9783110479577</v>
      </c>
      <c r="D3745" t="str">
        <f>"9783110481112"</f>
        <v>9783110481112</v>
      </c>
      <c r="E3745" t="s">
        <v>73</v>
      </c>
      <c r="F3745" s="1">
        <v>44550</v>
      </c>
    </row>
    <row r="3746" spans="1:6" x14ac:dyDescent="0.25">
      <c r="A3746">
        <v>6978376</v>
      </c>
      <c r="B3746" t="s">
        <v>3794</v>
      </c>
      <c r="C3746" t="str">
        <f>"9783110487343"</f>
        <v>9783110487343</v>
      </c>
      <c r="D3746" t="str">
        <f>"9783110492507"</f>
        <v>9783110492507</v>
      </c>
      <c r="E3746" t="s">
        <v>73</v>
      </c>
      <c r="F3746" s="1">
        <v>42851</v>
      </c>
    </row>
    <row r="3747" spans="1:6" x14ac:dyDescent="0.25">
      <c r="A3747">
        <v>6978377</v>
      </c>
      <c r="B3747" t="s">
        <v>3795</v>
      </c>
      <c r="C3747" t="str">
        <f>"9783110501346"</f>
        <v>9783110501346</v>
      </c>
      <c r="D3747" t="str">
        <f>"9783110516319"</f>
        <v>9783110516319</v>
      </c>
      <c r="E3747" t="s">
        <v>73</v>
      </c>
      <c r="F3747" s="1">
        <v>43178</v>
      </c>
    </row>
    <row r="3748" spans="1:6" x14ac:dyDescent="0.25">
      <c r="A3748">
        <v>6978378</v>
      </c>
      <c r="B3748" t="s">
        <v>3796</v>
      </c>
      <c r="C3748" t="str">
        <f>"9783110496406"</f>
        <v>9783110496406</v>
      </c>
      <c r="D3748" t="str">
        <f>"9783110520521"</f>
        <v>9783110520521</v>
      </c>
      <c r="E3748" t="s">
        <v>53</v>
      </c>
      <c r="F3748" s="1">
        <v>43423</v>
      </c>
    </row>
    <row r="3749" spans="1:6" x14ac:dyDescent="0.25">
      <c r="A3749">
        <v>6978379</v>
      </c>
      <c r="B3749" t="s">
        <v>3797</v>
      </c>
      <c r="C3749" t="str">
        <f>"9783110518481"</f>
        <v>9783110518481</v>
      </c>
      <c r="D3749" t="str">
        <f>"9783110520965"</f>
        <v>9783110520965</v>
      </c>
      <c r="E3749" t="s">
        <v>73</v>
      </c>
      <c r="F3749" s="1">
        <v>43003</v>
      </c>
    </row>
    <row r="3750" spans="1:6" x14ac:dyDescent="0.25">
      <c r="A3750">
        <v>6978380</v>
      </c>
      <c r="B3750" t="s">
        <v>3798</v>
      </c>
      <c r="C3750" t="str">
        <f>"9783110522006"</f>
        <v>9783110522006</v>
      </c>
      <c r="D3750" t="str">
        <f>"9783110523300"</f>
        <v>9783110523300</v>
      </c>
      <c r="E3750" t="s">
        <v>73</v>
      </c>
      <c r="F3750" s="1">
        <v>43213</v>
      </c>
    </row>
    <row r="3751" spans="1:6" x14ac:dyDescent="0.25">
      <c r="A3751">
        <v>6978381</v>
      </c>
      <c r="B3751" t="s">
        <v>3799</v>
      </c>
      <c r="C3751" t="str">
        <f>"9783110487145"</f>
        <v>9783110487145</v>
      </c>
      <c r="D3751" t="str">
        <f>"9783110530797"</f>
        <v>9783110530797</v>
      </c>
      <c r="E3751" t="s">
        <v>73</v>
      </c>
      <c r="F3751" s="1">
        <v>43073</v>
      </c>
    </row>
    <row r="3752" spans="1:6" x14ac:dyDescent="0.25">
      <c r="A3752">
        <v>6978383</v>
      </c>
      <c r="B3752" t="s">
        <v>3800</v>
      </c>
      <c r="C3752" t="str">
        <f>"9783110543094"</f>
        <v>9783110543094</v>
      </c>
      <c r="D3752" t="str">
        <f>"9783110543100"</f>
        <v>9783110543100</v>
      </c>
      <c r="E3752" t="s">
        <v>73</v>
      </c>
      <c r="F3752" s="1">
        <v>43087</v>
      </c>
    </row>
    <row r="3753" spans="1:6" x14ac:dyDescent="0.25">
      <c r="A3753">
        <v>6978384</v>
      </c>
      <c r="B3753" t="s">
        <v>3801</v>
      </c>
      <c r="C3753" t="str">
        <f>"9783110543230"</f>
        <v>9783110543230</v>
      </c>
      <c r="D3753" t="str">
        <f>"9783110546231"</f>
        <v>9783110546231</v>
      </c>
      <c r="E3753" t="s">
        <v>73</v>
      </c>
      <c r="F3753" s="1">
        <v>42968</v>
      </c>
    </row>
    <row r="3754" spans="1:6" x14ac:dyDescent="0.25">
      <c r="A3754">
        <v>6978385</v>
      </c>
      <c r="B3754" t="s">
        <v>3802</v>
      </c>
      <c r="C3754" t="str">
        <f>"9783110554977"</f>
        <v>9783110554977</v>
      </c>
      <c r="D3754" t="str">
        <f>"9783110555080"</f>
        <v>9783110555080</v>
      </c>
      <c r="E3754" t="s">
        <v>73</v>
      </c>
      <c r="F3754" s="1">
        <v>43290</v>
      </c>
    </row>
    <row r="3755" spans="1:6" x14ac:dyDescent="0.25">
      <c r="A3755">
        <v>6978386</v>
      </c>
      <c r="B3755" t="s">
        <v>3803</v>
      </c>
      <c r="C3755" t="str">
        <f>"9783110556087"</f>
        <v>9783110556087</v>
      </c>
      <c r="D3755" t="str">
        <f>"9783110556094"</f>
        <v>9783110556094</v>
      </c>
      <c r="E3755" t="s">
        <v>73</v>
      </c>
      <c r="F3755" s="1">
        <v>43046</v>
      </c>
    </row>
    <row r="3756" spans="1:6" x14ac:dyDescent="0.25">
      <c r="A3756">
        <v>6978387</v>
      </c>
      <c r="B3756" t="s">
        <v>3804</v>
      </c>
      <c r="C3756" t="str">
        <f>"9783110553161"</f>
        <v>9783110553161</v>
      </c>
      <c r="D3756" t="str">
        <f>"9783110557176"</f>
        <v>9783110557176</v>
      </c>
      <c r="E3756" t="s">
        <v>73</v>
      </c>
      <c r="F3756" s="1">
        <v>44095</v>
      </c>
    </row>
    <row r="3757" spans="1:6" x14ac:dyDescent="0.25">
      <c r="A3757">
        <v>6978388</v>
      </c>
      <c r="B3757" t="s">
        <v>3805</v>
      </c>
      <c r="C3757" t="str">
        <f>"9783110557909"</f>
        <v>9783110557909</v>
      </c>
      <c r="D3757" t="str">
        <f>"9783110557862"</f>
        <v>9783110557862</v>
      </c>
      <c r="E3757" t="s">
        <v>73</v>
      </c>
      <c r="F3757" s="1">
        <v>43046</v>
      </c>
    </row>
    <row r="3758" spans="1:6" x14ac:dyDescent="0.25">
      <c r="A3758">
        <v>6978389</v>
      </c>
      <c r="B3758" t="s">
        <v>3806</v>
      </c>
      <c r="C3758" t="str">
        <f>"9783110575606"</f>
        <v>9783110575606</v>
      </c>
      <c r="D3758" t="str">
        <f>"9783110577686"</f>
        <v>9783110577686</v>
      </c>
      <c r="E3758" t="s">
        <v>73</v>
      </c>
      <c r="F3758" s="1">
        <v>43451</v>
      </c>
    </row>
    <row r="3759" spans="1:6" x14ac:dyDescent="0.25">
      <c r="A3759">
        <v>6978390</v>
      </c>
      <c r="B3759" t="s">
        <v>3807</v>
      </c>
      <c r="C3759" t="str">
        <f>"9783110578423"</f>
        <v>9783110578423</v>
      </c>
      <c r="D3759" t="str">
        <f>"9783110581546"</f>
        <v>9783110581546</v>
      </c>
      <c r="E3759" t="s">
        <v>73</v>
      </c>
      <c r="F3759" s="1">
        <v>43437</v>
      </c>
    </row>
    <row r="3760" spans="1:6" x14ac:dyDescent="0.25">
      <c r="A3760">
        <v>6978420</v>
      </c>
      <c r="B3760" t="s">
        <v>3808</v>
      </c>
      <c r="C3760" t="str">
        <f>"9783486575613"</f>
        <v>9783486575613</v>
      </c>
      <c r="D3760" t="str">
        <f>"9783486835700"</f>
        <v>9783486835700</v>
      </c>
      <c r="E3760" t="s">
        <v>73</v>
      </c>
      <c r="F3760" s="1">
        <v>38287</v>
      </c>
    </row>
    <row r="3761" spans="1:6" x14ac:dyDescent="0.25">
      <c r="A3761">
        <v>6983584</v>
      </c>
      <c r="B3761" t="s">
        <v>3809</v>
      </c>
      <c r="C3761" t="str">
        <f>"9780520381711"</f>
        <v>9780520381711</v>
      </c>
      <c r="D3761" t="str">
        <f>"9780520381728"</f>
        <v>9780520381728</v>
      </c>
      <c r="E3761" t="s">
        <v>3336</v>
      </c>
      <c r="F3761" s="1">
        <v>44348</v>
      </c>
    </row>
    <row r="3762" spans="1:6" x14ac:dyDescent="0.25">
      <c r="A3762">
        <v>6983637</v>
      </c>
      <c r="B3762" t="s">
        <v>3810</v>
      </c>
      <c r="C3762" t="str">
        <f>"9780520299320"</f>
        <v>9780520299320</v>
      </c>
      <c r="D3762" t="str">
        <f>"9780520971103"</f>
        <v>9780520971103</v>
      </c>
      <c r="E3762" t="s">
        <v>3336</v>
      </c>
      <c r="F3762" s="1">
        <v>43658</v>
      </c>
    </row>
    <row r="3763" spans="1:6" x14ac:dyDescent="0.25">
      <c r="A3763">
        <v>6983699</v>
      </c>
      <c r="B3763" t="s">
        <v>3811</v>
      </c>
      <c r="C3763" t="str">
        <f>"9780520296985"</f>
        <v>9780520296985</v>
      </c>
      <c r="D3763" t="str">
        <f>"9780520969513"</f>
        <v>9780520969513</v>
      </c>
      <c r="E3763" t="s">
        <v>3336</v>
      </c>
      <c r="F3763" s="1">
        <v>43774</v>
      </c>
    </row>
    <row r="3764" spans="1:6" x14ac:dyDescent="0.25">
      <c r="A3764">
        <v>6983801</v>
      </c>
      <c r="B3764" t="s">
        <v>3812</v>
      </c>
      <c r="C3764" t="str">
        <f>"9780520301368"</f>
        <v>9780520301368</v>
      </c>
      <c r="D3764" t="str">
        <f>"9780520972179"</f>
        <v>9780520972179</v>
      </c>
      <c r="E3764" t="s">
        <v>3336</v>
      </c>
      <c r="F3764" s="1">
        <v>43480</v>
      </c>
    </row>
    <row r="3765" spans="1:6" x14ac:dyDescent="0.25">
      <c r="A3765">
        <v>6983899</v>
      </c>
      <c r="B3765" t="s">
        <v>3813</v>
      </c>
      <c r="C3765" t="str">
        <f>"9780520307056"</f>
        <v>9780520307056</v>
      </c>
      <c r="D3765" t="str">
        <f>"9780520973749"</f>
        <v>9780520973749</v>
      </c>
      <c r="E3765" t="s">
        <v>3336</v>
      </c>
      <c r="F3765" s="1">
        <v>43683</v>
      </c>
    </row>
    <row r="3766" spans="1:6" x14ac:dyDescent="0.25">
      <c r="A3766">
        <v>6983941</v>
      </c>
      <c r="B3766" t="s">
        <v>3814</v>
      </c>
      <c r="C3766" t="str">
        <f>"9780520300934"</f>
        <v>9780520300934</v>
      </c>
      <c r="D3766" t="str">
        <f>"9780520972117"</f>
        <v>9780520972117</v>
      </c>
      <c r="E3766" t="s">
        <v>3336</v>
      </c>
      <c r="F3766" s="1">
        <v>43767</v>
      </c>
    </row>
    <row r="3767" spans="1:6" x14ac:dyDescent="0.25">
      <c r="A3767">
        <v>6983961</v>
      </c>
      <c r="B3767" t="s">
        <v>3815</v>
      </c>
      <c r="C3767" t="str">
        <f>"9780520299436"</f>
        <v>9780520299436</v>
      </c>
      <c r="D3767" t="str">
        <f>"9780520971158"</f>
        <v>9780520971158</v>
      </c>
      <c r="E3767" t="s">
        <v>3336</v>
      </c>
      <c r="F3767" s="1">
        <v>43585</v>
      </c>
    </row>
    <row r="3768" spans="1:6" x14ac:dyDescent="0.25">
      <c r="A3768">
        <v>6984006</v>
      </c>
      <c r="B3768" t="s">
        <v>3816</v>
      </c>
      <c r="C3768" t="str">
        <f>"9780520303621"</f>
        <v>9780520303621</v>
      </c>
      <c r="D3768" t="str">
        <f>"9780520972773"</f>
        <v>9780520972773</v>
      </c>
      <c r="E3768" t="s">
        <v>3336</v>
      </c>
      <c r="F3768" s="1">
        <v>43592</v>
      </c>
    </row>
    <row r="3769" spans="1:6" x14ac:dyDescent="0.25">
      <c r="A3769">
        <v>6984059</v>
      </c>
      <c r="B3769" t="s">
        <v>3817</v>
      </c>
      <c r="C3769" t="str">
        <f>"9780520316089"</f>
        <v>9780520316089</v>
      </c>
      <c r="D3769" t="str">
        <f>"9780520974135"</f>
        <v>9780520974135</v>
      </c>
      <c r="E3769" t="s">
        <v>3336</v>
      </c>
      <c r="F3769" s="1">
        <v>43725</v>
      </c>
    </row>
    <row r="3770" spans="1:6" x14ac:dyDescent="0.25">
      <c r="A3770">
        <v>6984146</v>
      </c>
      <c r="B3770" t="s">
        <v>3818</v>
      </c>
      <c r="C3770" t="str">
        <f>"9780520300804"</f>
        <v>9780520300804</v>
      </c>
      <c r="D3770" t="str">
        <f>"9780520972032"</f>
        <v>9780520972032</v>
      </c>
      <c r="E3770" t="s">
        <v>3336</v>
      </c>
      <c r="F3770" s="1">
        <v>43802</v>
      </c>
    </row>
    <row r="3771" spans="1:6" x14ac:dyDescent="0.25">
      <c r="A3771">
        <v>6984221</v>
      </c>
      <c r="B3771" t="s">
        <v>3819</v>
      </c>
      <c r="C3771" t="str">
        <f>"9780520303690"</f>
        <v>9780520303690</v>
      </c>
      <c r="D3771" t="str">
        <f>"9780520972827"</f>
        <v>9780520972827</v>
      </c>
      <c r="E3771" t="s">
        <v>3336</v>
      </c>
      <c r="F3771" s="1">
        <v>43585</v>
      </c>
    </row>
    <row r="3772" spans="1:6" x14ac:dyDescent="0.25">
      <c r="A3772">
        <v>6984226</v>
      </c>
      <c r="B3772" t="s">
        <v>3820</v>
      </c>
      <c r="C3772" t="str">
        <f>"9780520298996"</f>
        <v>9780520298996</v>
      </c>
      <c r="D3772" t="str">
        <f>"9780520970922"</f>
        <v>9780520970922</v>
      </c>
      <c r="E3772" t="s">
        <v>3336</v>
      </c>
      <c r="F3772" s="1">
        <v>43599</v>
      </c>
    </row>
    <row r="3773" spans="1:6" x14ac:dyDescent="0.25">
      <c r="A3773">
        <v>6984274</v>
      </c>
      <c r="B3773" t="s">
        <v>3821</v>
      </c>
      <c r="C3773" t="str">
        <f>"9780520301665"</f>
        <v>9780520301665</v>
      </c>
      <c r="D3773" t="str">
        <f>"9780520972230"</f>
        <v>9780520972230</v>
      </c>
      <c r="E3773" t="s">
        <v>3336</v>
      </c>
      <c r="F3773" s="1">
        <v>43641</v>
      </c>
    </row>
    <row r="3774" spans="1:6" x14ac:dyDescent="0.25">
      <c r="A3774">
        <v>6984280</v>
      </c>
      <c r="B3774" t="s">
        <v>3822</v>
      </c>
      <c r="C3774" t="str">
        <f>"9780520306332"</f>
        <v>9780520306332</v>
      </c>
      <c r="D3774" t="str">
        <f>"9780520973688"</f>
        <v>9780520973688</v>
      </c>
      <c r="E3774" t="s">
        <v>3336</v>
      </c>
      <c r="F3774" s="1">
        <v>43721</v>
      </c>
    </row>
    <row r="3775" spans="1:6" x14ac:dyDescent="0.25">
      <c r="A3775">
        <v>6984282</v>
      </c>
      <c r="B3775" t="s">
        <v>3823</v>
      </c>
      <c r="C3775" t="str">
        <f>"9780520302402"</f>
        <v>9780520302402</v>
      </c>
      <c r="D3775" t="str">
        <f>"9780520972483"</f>
        <v>9780520972483</v>
      </c>
      <c r="E3775" t="s">
        <v>3336</v>
      </c>
      <c r="F3775" s="1">
        <v>43676</v>
      </c>
    </row>
    <row r="3776" spans="1:6" x14ac:dyDescent="0.25">
      <c r="A3776">
        <v>6984340</v>
      </c>
      <c r="B3776" t="s">
        <v>3824</v>
      </c>
      <c r="C3776" t="str">
        <f>"9780520300927"</f>
        <v>9780520300927</v>
      </c>
      <c r="D3776" t="str">
        <f>"9780520972100"</f>
        <v>9780520972100</v>
      </c>
      <c r="E3776" t="s">
        <v>3336</v>
      </c>
      <c r="F3776" s="1">
        <v>43564</v>
      </c>
    </row>
    <row r="3777" spans="1:6" x14ac:dyDescent="0.25">
      <c r="A3777">
        <v>6984343</v>
      </c>
      <c r="B3777" t="s">
        <v>3825</v>
      </c>
      <c r="C3777" t="str">
        <f>"9780520296961"</f>
        <v>9780520296961</v>
      </c>
      <c r="D3777" t="str">
        <f>"9780520969490"</f>
        <v>9780520969490</v>
      </c>
      <c r="E3777" t="s">
        <v>3336</v>
      </c>
      <c r="F3777" s="1">
        <v>43571</v>
      </c>
    </row>
    <row r="3778" spans="1:6" x14ac:dyDescent="0.25">
      <c r="A3778">
        <v>6984390</v>
      </c>
      <c r="B3778" t="s">
        <v>3826</v>
      </c>
      <c r="C3778" t="str">
        <f>"9780520304529"</f>
        <v>9780520304529</v>
      </c>
      <c r="D3778" t="str">
        <f>"9780520973152"</f>
        <v>9780520973152</v>
      </c>
      <c r="E3778" t="s">
        <v>3336</v>
      </c>
      <c r="F3778" s="1">
        <v>43718</v>
      </c>
    </row>
    <row r="3779" spans="1:6" x14ac:dyDescent="0.25">
      <c r="A3779">
        <v>6984444</v>
      </c>
      <c r="B3779" t="s">
        <v>3827</v>
      </c>
      <c r="C3779" t="str">
        <f>"9780520303652"</f>
        <v>9780520303652</v>
      </c>
      <c r="D3779" t="str">
        <f>"9780520972797"</f>
        <v>9780520972797</v>
      </c>
      <c r="E3779" t="s">
        <v>3336</v>
      </c>
      <c r="F3779" s="1">
        <v>43480</v>
      </c>
    </row>
    <row r="3780" spans="1:6" x14ac:dyDescent="0.25">
      <c r="A3780">
        <v>6984448</v>
      </c>
      <c r="B3780" t="s">
        <v>3828</v>
      </c>
      <c r="C3780" t="str">
        <f>""</f>
        <v/>
      </c>
      <c r="D3780" t="str">
        <f>"9789048542727"</f>
        <v>9789048542727</v>
      </c>
      <c r="E3780" t="s">
        <v>59</v>
      </c>
      <c r="F3780" s="1">
        <v>43796</v>
      </c>
    </row>
    <row r="3781" spans="1:6" x14ac:dyDescent="0.25">
      <c r="A3781">
        <v>6986180</v>
      </c>
      <c r="B3781" t="s">
        <v>3829</v>
      </c>
      <c r="C3781" t="str">
        <f>"9780472055388"</f>
        <v>9780472055388</v>
      </c>
      <c r="D3781" t="str">
        <f>"9780472902651"</f>
        <v>9780472902651</v>
      </c>
      <c r="E3781" t="s">
        <v>689</v>
      </c>
      <c r="F3781" s="1">
        <v>44767</v>
      </c>
    </row>
    <row r="3782" spans="1:6" x14ac:dyDescent="0.25">
      <c r="A3782">
        <v>6986485</v>
      </c>
      <c r="B3782" t="s">
        <v>3830</v>
      </c>
      <c r="C3782" t="str">
        <f>"9783030964733"</f>
        <v>9783030964733</v>
      </c>
      <c r="D3782" t="str">
        <f>"9783030964740"</f>
        <v>9783030964740</v>
      </c>
      <c r="E3782" t="s">
        <v>756</v>
      </c>
      <c r="F3782" s="1">
        <v>44768</v>
      </c>
    </row>
    <row r="3783" spans="1:6" x14ac:dyDescent="0.25">
      <c r="A3783">
        <v>6986493</v>
      </c>
      <c r="B3783" t="s">
        <v>3831</v>
      </c>
      <c r="C3783" t="str">
        <f>"9783030955076"</f>
        <v>9783030955076</v>
      </c>
      <c r="D3783" t="str">
        <f>"9783030955083"</f>
        <v>9783030955083</v>
      </c>
      <c r="E3783" t="s">
        <v>756</v>
      </c>
      <c r="F3783" s="1">
        <v>44726</v>
      </c>
    </row>
    <row r="3784" spans="1:6" x14ac:dyDescent="0.25">
      <c r="A3784">
        <v>6986548</v>
      </c>
      <c r="B3784" t="s">
        <v>3832</v>
      </c>
      <c r="C3784" t="str">
        <f>"9783030958596"</f>
        <v>9783030958596</v>
      </c>
      <c r="D3784" t="str">
        <f>"9783030958602"</f>
        <v>9783030958602</v>
      </c>
      <c r="E3784" t="s">
        <v>756</v>
      </c>
      <c r="F3784" s="1">
        <v>44729</v>
      </c>
    </row>
    <row r="3785" spans="1:6" x14ac:dyDescent="0.25">
      <c r="A3785">
        <v>6986658</v>
      </c>
      <c r="B3785" t="s">
        <v>3833</v>
      </c>
      <c r="C3785" t="str">
        <f>""</f>
        <v/>
      </c>
      <c r="D3785" t="str">
        <f>"9789179293123"</f>
        <v>9789179293123</v>
      </c>
      <c r="E3785" t="s">
        <v>1004</v>
      </c>
      <c r="F3785" s="1">
        <v>44690</v>
      </c>
    </row>
    <row r="3786" spans="1:6" x14ac:dyDescent="0.25">
      <c r="A3786">
        <v>6986660</v>
      </c>
      <c r="B3786" t="s">
        <v>3834</v>
      </c>
      <c r="C3786" t="str">
        <f>""</f>
        <v/>
      </c>
      <c r="D3786" t="str">
        <f>"9789179293635"</f>
        <v>9789179293635</v>
      </c>
      <c r="E3786" t="s">
        <v>1004</v>
      </c>
      <c r="F3786" s="1">
        <v>44690</v>
      </c>
    </row>
    <row r="3787" spans="1:6" x14ac:dyDescent="0.25">
      <c r="A3787">
        <v>6986703</v>
      </c>
      <c r="B3787" t="s">
        <v>3835</v>
      </c>
      <c r="C3787" t="str">
        <f>"9781802070118"</f>
        <v>9781802070118</v>
      </c>
      <c r="D3787" t="str">
        <f>"9781802070675"</f>
        <v>9781802070675</v>
      </c>
      <c r="E3787" t="s">
        <v>1287</v>
      </c>
      <c r="F3787" s="1">
        <v>44713</v>
      </c>
    </row>
    <row r="3788" spans="1:6" x14ac:dyDescent="0.25">
      <c r="A3788">
        <v>6986729</v>
      </c>
      <c r="B3788" t="s">
        <v>3836</v>
      </c>
      <c r="C3788" t="str">
        <f>"9783030995928"</f>
        <v>9783030995928</v>
      </c>
      <c r="D3788" t="str">
        <f>"9783030995935"</f>
        <v>9783030995935</v>
      </c>
      <c r="E3788" t="s">
        <v>756</v>
      </c>
      <c r="F3788" s="1">
        <v>44731</v>
      </c>
    </row>
    <row r="3789" spans="1:6" x14ac:dyDescent="0.25">
      <c r="A3789">
        <v>6987625</v>
      </c>
      <c r="B3789" t="s">
        <v>3837</v>
      </c>
      <c r="C3789" t="str">
        <f>"9781799898054"</f>
        <v>9781799898054</v>
      </c>
      <c r="D3789" t="str">
        <f>"9781799898078"</f>
        <v>9781799898078</v>
      </c>
      <c r="E3789" t="s">
        <v>3838</v>
      </c>
      <c r="F3789" s="1">
        <v>44680</v>
      </c>
    </row>
    <row r="3790" spans="1:6" x14ac:dyDescent="0.25">
      <c r="A3790">
        <v>6992134</v>
      </c>
      <c r="B3790" t="s">
        <v>3839</v>
      </c>
      <c r="C3790" t="str">
        <f>"9789811909900"</f>
        <v>9789811909900</v>
      </c>
      <c r="D3790" t="str">
        <f>"9789811909917"</f>
        <v>9789811909917</v>
      </c>
      <c r="E3790" t="s">
        <v>757</v>
      </c>
      <c r="F3790" s="1">
        <v>44729</v>
      </c>
    </row>
    <row r="3791" spans="1:6" x14ac:dyDescent="0.25">
      <c r="A3791">
        <v>6995049</v>
      </c>
      <c r="B3791" t="s">
        <v>3840</v>
      </c>
      <c r="C3791" t="str">
        <f>"9783658375089"</f>
        <v>9783658375089</v>
      </c>
      <c r="D3791" t="str">
        <f>"9783658375096"</f>
        <v>9783658375096</v>
      </c>
      <c r="E3791" t="s">
        <v>1391</v>
      </c>
      <c r="F3791" s="1">
        <v>44737</v>
      </c>
    </row>
    <row r="3792" spans="1:6" x14ac:dyDescent="0.25">
      <c r="A3792">
        <v>6995127</v>
      </c>
      <c r="B3792" t="s">
        <v>3841</v>
      </c>
      <c r="C3792" t="str">
        <f>"9781526134684"</f>
        <v>9781526134684</v>
      </c>
      <c r="D3792" t="str">
        <f>"9781526134691"</f>
        <v>9781526134691</v>
      </c>
      <c r="E3792" t="s">
        <v>4</v>
      </c>
      <c r="F3792" s="1">
        <v>44607</v>
      </c>
    </row>
    <row r="3793" spans="1:6" x14ac:dyDescent="0.25">
      <c r="A3793">
        <v>6995527</v>
      </c>
      <c r="B3793" t="s">
        <v>3842</v>
      </c>
      <c r="C3793" t="str">
        <f>"9783031062483"</f>
        <v>9783031062483</v>
      </c>
      <c r="D3793" t="str">
        <f>"9783031062490"</f>
        <v>9783031062490</v>
      </c>
      <c r="E3793" t="s">
        <v>756</v>
      </c>
      <c r="F3793" s="1">
        <v>44740</v>
      </c>
    </row>
    <row r="3794" spans="1:6" x14ac:dyDescent="0.25">
      <c r="A3794">
        <v>6995669</v>
      </c>
      <c r="B3794" t="s">
        <v>3843</v>
      </c>
      <c r="C3794" t="str">
        <f>""</f>
        <v/>
      </c>
      <c r="D3794" t="str">
        <f>"9789179293246"</f>
        <v>9789179293246</v>
      </c>
      <c r="E3794" t="s">
        <v>1004</v>
      </c>
      <c r="F3794" s="1">
        <v>44697</v>
      </c>
    </row>
    <row r="3795" spans="1:6" x14ac:dyDescent="0.25">
      <c r="A3795">
        <v>6996383</v>
      </c>
      <c r="B3795" t="s">
        <v>3844</v>
      </c>
      <c r="C3795" t="str">
        <f>"9783030961794"</f>
        <v>9783030961794</v>
      </c>
      <c r="D3795" t="str">
        <f>"9783030961800"</f>
        <v>9783030961800</v>
      </c>
      <c r="E3795" t="s">
        <v>756</v>
      </c>
      <c r="F3795" s="1">
        <v>44734</v>
      </c>
    </row>
    <row r="3796" spans="1:6" x14ac:dyDescent="0.25">
      <c r="A3796">
        <v>6996396</v>
      </c>
      <c r="B3796" t="s">
        <v>3845</v>
      </c>
      <c r="C3796" t="str">
        <f>"9783030999391"</f>
        <v>9783030999391</v>
      </c>
      <c r="D3796" t="str">
        <f>"9783030999407"</f>
        <v>9783030999407</v>
      </c>
      <c r="E3796" t="s">
        <v>756</v>
      </c>
      <c r="F3796" s="1">
        <v>44744</v>
      </c>
    </row>
    <row r="3797" spans="1:6" x14ac:dyDescent="0.25">
      <c r="A3797">
        <v>6997309</v>
      </c>
      <c r="B3797" t="s">
        <v>3846</v>
      </c>
      <c r="C3797" t="str">
        <f>"9781800643154"</f>
        <v>9781800643154</v>
      </c>
      <c r="D3797" t="str">
        <f>"9781800643161"</f>
        <v>9781800643161</v>
      </c>
      <c r="E3797" t="s">
        <v>580</v>
      </c>
      <c r="F3797" s="1">
        <v>44671</v>
      </c>
    </row>
    <row r="3798" spans="1:6" x14ac:dyDescent="0.25">
      <c r="A3798">
        <v>6997310</v>
      </c>
      <c r="B3798" t="s">
        <v>3847</v>
      </c>
      <c r="C3798" t="str">
        <f>"9781800644052"</f>
        <v>9781800644052</v>
      </c>
      <c r="D3798" t="str">
        <f>"9781800644069"</f>
        <v>9781800644069</v>
      </c>
      <c r="E3798" t="s">
        <v>580</v>
      </c>
      <c r="F3798" s="1">
        <v>44657</v>
      </c>
    </row>
    <row r="3799" spans="1:6" x14ac:dyDescent="0.25">
      <c r="A3799">
        <v>6997311</v>
      </c>
      <c r="B3799" t="s">
        <v>3848</v>
      </c>
      <c r="C3799" t="str">
        <f>"9781800644236"</f>
        <v>9781800644236</v>
      </c>
      <c r="D3799" t="str">
        <f>"9781800644243"</f>
        <v>9781800644243</v>
      </c>
      <c r="E3799" t="s">
        <v>580</v>
      </c>
      <c r="F3799" s="1">
        <v>44664</v>
      </c>
    </row>
    <row r="3800" spans="1:6" x14ac:dyDescent="0.25">
      <c r="A3800">
        <v>6997312</v>
      </c>
      <c r="B3800" t="s">
        <v>3849</v>
      </c>
      <c r="C3800" t="str">
        <f>"9781800643338"</f>
        <v>9781800643338</v>
      </c>
      <c r="D3800" t="str">
        <f>"9781800643345"</f>
        <v>9781800643345</v>
      </c>
      <c r="E3800" t="s">
        <v>580</v>
      </c>
      <c r="F3800" s="1">
        <v>44651</v>
      </c>
    </row>
    <row r="3801" spans="1:6" x14ac:dyDescent="0.25">
      <c r="A3801">
        <v>6997687</v>
      </c>
      <c r="B3801" t="s">
        <v>3850</v>
      </c>
      <c r="C3801" t="str">
        <f>"9783658378028"</f>
        <v>9783658378028</v>
      </c>
      <c r="D3801" t="str">
        <f>"9783658378035"</f>
        <v>9783658378035</v>
      </c>
      <c r="E3801" t="s">
        <v>1391</v>
      </c>
      <c r="F3801" s="1">
        <v>44750</v>
      </c>
    </row>
    <row r="3802" spans="1:6" x14ac:dyDescent="0.25">
      <c r="A3802">
        <v>6998216</v>
      </c>
      <c r="B3802" t="s">
        <v>3851</v>
      </c>
      <c r="C3802" t="str">
        <f>"9783030964535"</f>
        <v>9783030964535</v>
      </c>
      <c r="D3802" t="str">
        <f>"9783030964542"</f>
        <v>9783030964542</v>
      </c>
      <c r="E3802" t="s">
        <v>756</v>
      </c>
      <c r="F3802" s="1">
        <v>44706</v>
      </c>
    </row>
    <row r="3803" spans="1:6" x14ac:dyDescent="0.25">
      <c r="A3803">
        <v>6998218</v>
      </c>
      <c r="B3803" t="s">
        <v>3852</v>
      </c>
      <c r="C3803" t="str">
        <f>"9783030998073"</f>
        <v>9783030998073</v>
      </c>
      <c r="D3803" t="str">
        <f>"9783030998080"</f>
        <v>9783030998080</v>
      </c>
      <c r="E3803" t="s">
        <v>756</v>
      </c>
      <c r="F3803" s="1">
        <v>44706</v>
      </c>
    </row>
    <row r="3804" spans="1:6" x14ac:dyDescent="0.25">
      <c r="A3804">
        <v>6998224</v>
      </c>
      <c r="B3804" t="s">
        <v>3853</v>
      </c>
      <c r="C3804" t="str">
        <f>"9783030950996"</f>
        <v>9783030950996</v>
      </c>
      <c r="D3804" t="str">
        <f>"9783030951009"</f>
        <v>9783030951009</v>
      </c>
      <c r="E3804" t="s">
        <v>756</v>
      </c>
      <c r="F3804" s="1">
        <v>44706</v>
      </c>
    </row>
    <row r="3805" spans="1:6" x14ac:dyDescent="0.25">
      <c r="A3805">
        <v>6998234</v>
      </c>
      <c r="B3805" t="s">
        <v>3854</v>
      </c>
      <c r="C3805" t="str">
        <f>"9783030958794"</f>
        <v>9783030958794</v>
      </c>
      <c r="D3805" t="str">
        <f>"9783030958800"</f>
        <v>9783030958800</v>
      </c>
      <c r="E3805" t="s">
        <v>756</v>
      </c>
      <c r="F3805" s="1">
        <v>44764</v>
      </c>
    </row>
    <row r="3806" spans="1:6" x14ac:dyDescent="0.25">
      <c r="A3806">
        <v>6998235</v>
      </c>
      <c r="B3806" t="s">
        <v>3855</v>
      </c>
      <c r="C3806" t="str">
        <f>"9783030952198"</f>
        <v>9783030952198</v>
      </c>
      <c r="D3806" t="str">
        <f>"9783030952204"</f>
        <v>9783030952204</v>
      </c>
      <c r="E3806" t="s">
        <v>756</v>
      </c>
      <c r="F3806" s="1">
        <v>44740</v>
      </c>
    </row>
    <row r="3807" spans="1:6" x14ac:dyDescent="0.25">
      <c r="A3807">
        <v>7001398</v>
      </c>
      <c r="B3807" t="s">
        <v>3856</v>
      </c>
      <c r="C3807" t="str">
        <f>"9783030948955"</f>
        <v>9783030948955</v>
      </c>
      <c r="D3807" t="str">
        <f>"9783030948962"</f>
        <v>9783030948962</v>
      </c>
      <c r="E3807" t="s">
        <v>756</v>
      </c>
      <c r="F3807" s="1">
        <v>44710</v>
      </c>
    </row>
    <row r="3808" spans="1:6" x14ac:dyDescent="0.25">
      <c r="A3808">
        <v>7001407</v>
      </c>
      <c r="B3808" t="s">
        <v>3857</v>
      </c>
      <c r="C3808" t="str">
        <f>"9789811917004"</f>
        <v>9789811917004</v>
      </c>
      <c r="D3808" t="str">
        <f>"9789811917011"</f>
        <v>9789811917011</v>
      </c>
      <c r="E3808" t="s">
        <v>757</v>
      </c>
      <c r="F3808" s="1">
        <v>44754</v>
      </c>
    </row>
    <row r="3809" spans="1:6" x14ac:dyDescent="0.25">
      <c r="A3809">
        <v>7002520</v>
      </c>
      <c r="B3809" t="s">
        <v>3858</v>
      </c>
      <c r="C3809" t="str">
        <f>"9783030981747"</f>
        <v>9783030981747</v>
      </c>
      <c r="D3809" t="str">
        <f>"9783030981754"</f>
        <v>9783030981754</v>
      </c>
      <c r="E3809" t="s">
        <v>756</v>
      </c>
      <c r="F3809" s="1">
        <v>44742</v>
      </c>
    </row>
    <row r="3810" spans="1:6" x14ac:dyDescent="0.25">
      <c r="A3810">
        <v>7002530</v>
      </c>
      <c r="B3810" t="s">
        <v>3859</v>
      </c>
      <c r="C3810" t="str">
        <f>"9781783744626"</f>
        <v>9781783744626</v>
      </c>
      <c r="D3810" t="str">
        <f>"9781783744633"</f>
        <v>9781783744633</v>
      </c>
      <c r="E3810" t="s">
        <v>580</v>
      </c>
      <c r="F3810" s="1">
        <v>44693</v>
      </c>
    </row>
    <row r="3811" spans="1:6" x14ac:dyDescent="0.25">
      <c r="A3811">
        <v>7002531</v>
      </c>
      <c r="B3811" t="s">
        <v>3860</v>
      </c>
      <c r="C3811" t="str">
        <f>"9781800646919"</f>
        <v>9781800646919</v>
      </c>
      <c r="D3811" t="str">
        <f>"9781800646926"</f>
        <v>9781800646926</v>
      </c>
      <c r="E3811" t="s">
        <v>580</v>
      </c>
      <c r="F3811" s="1">
        <v>44708</v>
      </c>
    </row>
    <row r="3812" spans="1:6" x14ac:dyDescent="0.25">
      <c r="A3812">
        <v>7002610</v>
      </c>
      <c r="B3812" t="s">
        <v>3861</v>
      </c>
      <c r="C3812" t="str">
        <f>"9783031042331"</f>
        <v>9783031042331</v>
      </c>
      <c r="D3812" t="str">
        <f>"9783031042348"</f>
        <v>9783031042348</v>
      </c>
      <c r="E3812" t="s">
        <v>756</v>
      </c>
      <c r="F3812" s="1">
        <v>44746</v>
      </c>
    </row>
    <row r="3813" spans="1:6" x14ac:dyDescent="0.25">
      <c r="A3813">
        <v>7002616</v>
      </c>
      <c r="B3813" t="s">
        <v>3862</v>
      </c>
      <c r="C3813" t="str">
        <f>"9783030989842"</f>
        <v>9783030989842</v>
      </c>
      <c r="D3813" t="str">
        <f>"9783030989859"</f>
        <v>9783030989859</v>
      </c>
      <c r="E3813" t="s">
        <v>756</v>
      </c>
      <c r="F3813" s="1">
        <v>44747</v>
      </c>
    </row>
    <row r="3814" spans="1:6" x14ac:dyDescent="0.25">
      <c r="A3814">
        <v>7002626</v>
      </c>
      <c r="B3814" t="s">
        <v>3863</v>
      </c>
      <c r="C3814" t="str">
        <f>"9789811696398"</f>
        <v>9789811696398</v>
      </c>
      <c r="D3814" t="str">
        <f>"9789811696404"</f>
        <v>9789811696404</v>
      </c>
      <c r="E3814" t="s">
        <v>885</v>
      </c>
      <c r="F3814" s="1">
        <v>44746</v>
      </c>
    </row>
    <row r="3815" spans="1:6" x14ac:dyDescent="0.25">
      <c r="A3815">
        <v>7007371</v>
      </c>
      <c r="B3815" t="s">
        <v>3864</v>
      </c>
      <c r="C3815" t="str">
        <f>"9789811916038"</f>
        <v>9789811916038</v>
      </c>
      <c r="D3815" t="str">
        <f>"9789811916045"</f>
        <v>9789811916045</v>
      </c>
      <c r="E3815" t="s">
        <v>885</v>
      </c>
      <c r="F3815" s="1">
        <v>44713</v>
      </c>
    </row>
    <row r="3816" spans="1:6" x14ac:dyDescent="0.25">
      <c r="A3816">
        <v>7007849</v>
      </c>
      <c r="B3816" t="s">
        <v>3865</v>
      </c>
      <c r="C3816" t="str">
        <f>"9780472117833"</f>
        <v>9780472117833</v>
      </c>
      <c r="D3816" t="str">
        <f>"9780472900749"</f>
        <v>9780472900749</v>
      </c>
      <c r="E3816" t="s">
        <v>689</v>
      </c>
      <c r="F3816" s="1">
        <v>40864</v>
      </c>
    </row>
    <row r="3817" spans="1:6" x14ac:dyDescent="0.25">
      <c r="A3817">
        <v>7007850</v>
      </c>
      <c r="B3817" t="s">
        <v>3866</v>
      </c>
      <c r="C3817" t="str">
        <f>"9780939512539"</f>
        <v>9780939512539</v>
      </c>
      <c r="D3817" t="str">
        <f>"9780472902156"</f>
        <v>9780472902156</v>
      </c>
      <c r="E3817" t="s">
        <v>2255</v>
      </c>
      <c r="F3817" s="1">
        <v>33846</v>
      </c>
    </row>
    <row r="3818" spans="1:6" x14ac:dyDescent="0.25">
      <c r="A3818">
        <v>7007851</v>
      </c>
      <c r="B3818" t="s">
        <v>3867</v>
      </c>
      <c r="C3818" t="str">
        <f>"9781929280490"</f>
        <v>9781929280490</v>
      </c>
      <c r="D3818" t="str">
        <f>"9780472901968"</f>
        <v>9780472901968</v>
      </c>
      <c r="E3818" t="s">
        <v>2255</v>
      </c>
      <c r="F3818" s="1">
        <v>39843</v>
      </c>
    </row>
    <row r="3819" spans="1:6" x14ac:dyDescent="0.25">
      <c r="A3819">
        <v>7007852</v>
      </c>
      <c r="B3819" t="s">
        <v>3868</v>
      </c>
      <c r="C3819" t="str">
        <f>"9780891480136"</f>
        <v>9780891480136</v>
      </c>
      <c r="D3819" t="str">
        <f>"9780472901722"</f>
        <v>9780472901722</v>
      </c>
      <c r="E3819" t="s">
        <v>2248</v>
      </c>
      <c r="F3819" s="1">
        <v>28491</v>
      </c>
    </row>
    <row r="3820" spans="1:6" x14ac:dyDescent="0.25">
      <c r="A3820">
        <v>7007853</v>
      </c>
      <c r="B3820" t="s">
        <v>3869</v>
      </c>
      <c r="C3820" t="str">
        <f>"9780472119097"</f>
        <v>9780472119097</v>
      </c>
      <c r="D3820" t="str">
        <f>"9780472900022"</f>
        <v>9780472900022</v>
      </c>
      <c r="E3820" t="s">
        <v>689</v>
      </c>
      <c r="F3820" s="1">
        <v>41897</v>
      </c>
    </row>
    <row r="3821" spans="1:6" x14ac:dyDescent="0.25">
      <c r="A3821">
        <v>7007855</v>
      </c>
      <c r="B3821" t="s">
        <v>3870</v>
      </c>
      <c r="C3821" t="str">
        <f>"9780891480648"</f>
        <v>9780891480648</v>
      </c>
      <c r="D3821" t="str">
        <f>"9780472901692"</f>
        <v>9780472901692</v>
      </c>
      <c r="E3821" t="s">
        <v>2248</v>
      </c>
      <c r="F3821" s="1">
        <v>33239</v>
      </c>
    </row>
    <row r="3822" spans="1:6" x14ac:dyDescent="0.25">
      <c r="A3822">
        <v>7007856</v>
      </c>
      <c r="B3822" t="s">
        <v>3871</v>
      </c>
      <c r="C3822" t="str">
        <f>"9780891480853"</f>
        <v>9780891480853</v>
      </c>
      <c r="D3822" t="str">
        <f>"9780472901739"</f>
        <v>9780472901739</v>
      </c>
      <c r="E3822" t="s">
        <v>2248</v>
      </c>
      <c r="F3822" s="1">
        <v>36921</v>
      </c>
    </row>
    <row r="3823" spans="1:6" x14ac:dyDescent="0.25">
      <c r="A3823">
        <v>7007857</v>
      </c>
      <c r="B3823" t="s">
        <v>3872</v>
      </c>
      <c r="C3823" t="str">
        <f>"9780892640355"</f>
        <v>9780892640355</v>
      </c>
      <c r="D3823" t="str">
        <f>"9780472901326"</f>
        <v>9780472901326</v>
      </c>
      <c r="E3823" t="s">
        <v>2250</v>
      </c>
      <c r="F3823" s="1">
        <v>28491</v>
      </c>
    </row>
    <row r="3824" spans="1:6" x14ac:dyDescent="0.25">
      <c r="A3824">
        <v>7007860</v>
      </c>
      <c r="B3824" t="s">
        <v>3873</v>
      </c>
      <c r="C3824" t="str">
        <f>"9780472115723"</f>
        <v>9780472115723</v>
      </c>
      <c r="D3824" t="str">
        <f>"9780472900886"</f>
        <v>9780472900886</v>
      </c>
      <c r="E3824" t="s">
        <v>689</v>
      </c>
      <c r="F3824" s="1">
        <v>39932</v>
      </c>
    </row>
    <row r="3825" spans="1:6" x14ac:dyDescent="0.25">
      <c r="A3825">
        <v>7007863</v>
      </c>
      <c r="B3825" t="s">
        <v>3874</v>
      </c>
      <c r="C3825" t="str">
        <f>"9780939512904"</f>
        <v>9780939512904</v>
      </c>
      <c r="D3825" t="str">
        <f>"9780472902163"</f>
        <v>9780472902163</v>
      </c>
      <c r="E3825" t="s">
        <v>2255</v>
      </c>
      <c r="F3825" s="1">
        <v>36190</v>
      </c>
    </row>
    <row r="3826" spans="1:6" x14ac:dyDescent="0.25">
      <c r="A3826">
        <v>7007864</v>
      </c>
      <c r="B3826" t="s">
        <v>3875</v>
      </c>
      <c r="C3826" t="str">
        <f>"9780472070800"</f>
        <v>9780472070800</v>
      </c>
      <c r="D3826" t="str">
        <f>"9780472900459"</f>
        <v>9780472900459</v>
      </c>
      <c r="E3826" t="s">
        <v>689</v>
      </c>
      <c r="F3826" s="1">
        <v>40149</v>
      </c>
    </row>
    <row r="3827" spans="1:6" x14ac:dyDescent="0.25">
      <c r="A3827">
        <v>7007865</v>
      </c>
      <c r="B3827" t="s">
        <v>3876</v>
      </c>
      <c r="C3827" t="str">
        <f>"9780892641345"</f>
        <v>9780892641345</v>
      </c>
      <c r="D3827" t="str">
        <f>"9780472901753"</f>
        <v>9780472901753</v>
      </c>
      <c r="E3827" t="s">
        <v>2250</v>
      </c>
      <c r="F3827" s="1">
        <v>36646</v>
      </c>
    </row>
    <row r="3828" spans="1:6" x14ac:dyDescent="0.25">
      <c r="A3828">
        <v>7007867</v>
      </c>
      <c r="B3828" t="s">
        <v>3877</v>
      </c>
      <c r="C3828" t="str">
        <f>"9780892640249"</f>
        <v>9780892640249</v>
      </c>
      <c r="D3828" t="str">
        <f>"9780472901838"</f>
        <v>9780472901838</v>
      </c>
      <c r="E3828" t="s">
        <v>2250</v>
      </c>
      <c r="F3828" s="1">
        <v>27760</v>
      </c>
    </row>
    <row r="3829" spans="1:6" x14ac:dyDescent="0.25">
      <c r="A3829">
        <v>7007868</v>
      </c>
      <c r="B3829" t="s">
        <v>3878</v>
      </c>
      <c r="C3829" t="str">
        <f>"9781929280209"</f>
        <v>9781929280209</v>
      </c>
      <c r="D3829" t="str">
        <f>"9780472901937"</f>
        <v>9780472901937</v>
      </c>
      <c r="E3829" t="s">
        <v>2255</v>
      </c>
      <c r="F3829" s="1">
        <v>37286</v>
      </c>
    </row>
    <row r="3830" spans="1:6" x14ac:dyDescent="0.25">
      <c r="A3830">
        <v>7007873</v>
      </c>
      <c r="B3830" t="s">
        <v>3879</v>
      </c>
      <c r="C3830" t="str">
        <f>"9780892640089"</f>
        <v>9780892640089</v>
      </c>
      <c r="D3830" t="str">
        <f>"9780472901548"</f>
        <v>9780472901548</v>
      </c>
      <c r="E3830" t="s">
        <v>2250</v>
      </c>
      <c r="F3830" s="1">
        <v>25569</v>
      </c>
    </row>
    <row r="3831" spans="1:6" x14ac:dyDescent="0.25">
      <c r="A3831">
        <v>7007874</v>
      </c>
      <c r="B3831" t="s">
        <v>3880</v>
      </c>
      <c r="C3831" t="str">
        <f>"9780892641260"</f>
        <v>9780892641260</v>
      </c>
      <c r="D3831" t="str">
        <f>"9780472901487"</f>
        <v>9780472901487</v>
      </c>
      <c r="E3831" t="s">
        <v>2250</v>
      </c>
      <c r="F3831" s="1">
        <v>35825</v>
      </c>
    </row>
    <row r="3832" spans="1:6" x14ac:dyDescent="0.25">
      <c r="A3832">
        <v>7007877</v>
      </c>
      <c r="B3832" t="s">
        <v>3881</v>
      </c>
      <c r="C3832" t="str">
        <f>"9780472116355"</f>
        <v>9780472116355</v>
      </c>
      <c r="D3832" t="str">
        <f>"9780472900527"</f>
        <v>9780472900527</v>
      </c>
      <c r="E3832" t="s">
        <v>689</v>
      </c>
      <c r="F3832" s="1">
        <v>39597</v>
      </c>
    </row>
    <row r="3833" spans="1:6" x14ac:dyDescent="0.25">
      <c r="A3833">
        <v>7007878</v>
      </c>
      <c r="B3833" t="s">
        <v>3882</v>
      </c>
      <c r="C3833" t="str">
        <f>"9780891480099"</f>
        <v>9780891480099</v>
      </c>
      <c r="D3833" t="str">
        <f>"9780472901944"</f>
        <v>9780472901944</v>
      </c>
      <c r="E3833" t="s">
        <v>2248</v>
      </c>
      <c r="F3833" s="1">
        <v>27395</v>
      </c>
    </row>
    <row r="3834" spans="1:6" x14ac:dyDescent="0.25">
      <c r="A3834">
        <v>7007879</v>
      </c>
      <c r="B3834" t="s">
        <v>3883</v>
      </c>
      <c r="C3834" t="str">
        <f>"9780472118502"</f>
        <v>9780472118502</v>
      </c>
      <c r="D3834" t="str">
        <f>"9780472901050"</f>
        <v>9780472901050</v>
      </c>
      <c r="E3834" t="s">
        <v>689</v>
      </c>
      <c r="F3834" s="1">
        <v>41333</v>
      </c>
    </row>
    <row r="3835" spans="1:6" x14ac:dyDescent="0.25">
      <c r="A3835">
        <v>7007880</v>
      </c>
      <c r="B3835" t="s">
        <v>3884</v>
      </c>
      <c r="C3835" t="str">
        <f>"9780472099825"</f>
        <v>9780472099825</v>
      </c>
      <c r="D3835" t="str">
        <f>"9780472901135"</f>
        <v>9780472901135</v>
      </c>
      <c r="E3835" t="s">
        <v>689</v>
      </c>
      <c r="F3835" s="1">
        <v>39293</v>
      </c>
    </row>
    <row r="3836" spans="1:6" x14ac:dyDescent="0.25">
      <c r="A3836">
        <v>7007882</v>
      </c>
      <c r="B3836" t="s">
        <v>3885</v>
      </c>
      <c r="C3836" t="str">
        <f>"9780891480433"</f>
        <v>9780891480433</v>
      </c>
      <c r="D3836" t="str">
        <f>"9780472902309"</f>
        <v>9780472902309</v>
      </c>
      <c r="E3836" t="s">
        <v>2248</v>
      </c>
      <c r="F3836" s="1">
        <v>32172</v>
      </c>
    </row>
    <row r="3837" spans="1:6" x14ac:dyDescent="0.25">
      <c r="A3837">
        <v>7007883</v>
      </c>
      <c r="B3837" t="s">
        <v>3886</v>
      </c>
      <c r="C3837" t="str">
        <f>"9780892640171"</f>
        <v>9780892640171</v>
      </c>
      <c r="D3837" t="str">
        <f>"9780472902224"</f>
        <v>9780472902224</v>
      </c>
      <c r="E3837" t="s">
        <v>2250</v>
      </c>
      <c r="F3837" s="1">
        <v>27030</v>
      </c>
    </row>
    <row r="3838" spans="1:6" x14ac:dyDescent="0.25">
      <c r="A3838">
        <v>7007884</v>
      </c>
      <c r="B3838" t="s">
        <v>3887</v>
      </c>
      <c r="C3838" t="str">
        <f>"9780892641109"</f>
        <v>9780892641109</v>
      </c>
      <c r="D3838" t="str">
        <f>"9780472901357"</f>
        <v>9780472901357</v>
      </c>
      <c r="E3838" t="s">
        <v>2250</v>
      </c>
      <c r="F3838" s="1">
        <v>34730</v>
      </c>
    </row>
    <row r="3839" spans="1:6" x14ac:dyDescent="0.25">
      <c r="A3839">
        <v>7007886</v>
      </c>
      <c r="B3839" t="s">
        <v>3888</v>
      </c>
      <c r="C3839" t="str">
        <f>"9780939512485"</f>
        <v>9780939512485</v>
      </c>
      <c r="D3839" t="str">
        <f>"9780472901593"</f>
        <v>9780472901593</v>
      </c>
      <c r="E3839" t="s">
        <v>2255</v>
      </c>
      <c r="F3839" s="1">
        <v>33662</v>
      </c>
    </row>
    <row r="3840" spans="1:6" x14ac:dyDescent="0.25">
      <c r="A3840">
        <v>7007887</v>
      </c>
      <c r="B3840" t="s">
        <v>3889</v>
      </c>
      <c r="C3840" t="str">
        <f>"9780892640263"</f>
        <v>9780892640263</v>
      </c>
      <c r="D3840" t="str">
        <f>"9780472902149"</f>
        <v>9780472902149</v>
      </c>
      <c r="E3840" t="s">
        <v>2250</v>
      </c>
      <c r="F3840" s="1">
        <v>27760</v>
      </c>
    </row>
    <row r="3841" spans="1:6" x14ac:dyDescent="0.25">
      <c r="A3841">
        <v>7007888</v>
      </c>
      <c r="B3841" t="s">
        <v>3890</v>
      </c>
      <c r="C3841" t="str">
        <f>"9780891480624"</f>
        <v>9780891480624</v>
      </c>
      <c r="D3841" t="str">
        <f>"9780472901715"</f>
        <v>9780472901715</v>
      </c>
      <c r="E3841" t="s">
        <v>2248</v>
      </c>
      <c r="F3841" s="1">
        <v>33239</v>
      </c>
    </row>
    <row r="3842" spans="1:6" x14ac:dyDescent="0.25">
      <c r="A3842">
        <v>7007889</v>
      </c>
      <c r="B3842" t="s">
        <v>3891</v>
      </c>
      <c r="C3842" t="str">
        <f>"9780472119011"</f>
        <v>9780472119011</v>
      </c>
      <c r="D3842" t="str">
        <f>"9780472900015"</f>
        <v>9780472900015</v>
      </c>
      <c r="E3842" t="s">
        <v>689</v>
      </c>
      <c r="F3842" s="1">
        <v>41547</v>
      </c>
    </row>
    <row r="3843" spans="1:6" x14ac:dyDescent="0.25">
      <c r="A3843">
        <v>7007890</v>
      </c>
      <c r="B3843" t="s">
        <v>3892</v>
      </c>
      <c r="C3843" t="str">
        <f>"9780472117338"</f>
        <v>9780472117338</v>
      </c>
      <c r="D3843" t="str">
        <f>"9780472901012"</f>
        <v>9780472901012</v>
      </c>
      <c r="E3843" t="s">
        <v>689</v>
      </c>
      <c r="F3843" s="1">
        <v>40812</v>
      </c>
    </row>
    <row r="3844" spans="1:6" x14ac:dyDescent="0.25">
      <c r="A3844">
        <v>7007891</v>
      </c>
      <c r="B3844" t="s">
        <v>3893</v>
      </c>
      <c r="C3844" t="str">
        <f>"9780939512089"</f>
        <v>9780939512089</v>
      </c>
      <c r="D3844" t="str">
        <f>"9780472902033"</f>
        <v>9780472902033</v>
      </c>
      <c r="E3844" t="s">
        <v>2255</v>
      </c>
      <c r="F3844" s="1">
        <v>29587</v>
      </c>
    </row>
    <row r="3845" spans="1:6" x14ac:dyDescent="0.25">
      <c r="A3845">
        <v>7007892</v>
      </c>
      <c r="B3845" t="s">
        <v>3894</v>
      </c>
      <c r="C3845" t="str">
        <f>"9780472118632"</f>
        <v>9780472118632</v>
      </c>
      <c r="D3845" t="str">
        <f>"9780472900992"</f>
        <v>9780472900992</v>
      </c>
      <c r="E3845" t="s">
        <v>689</v>
      </c>
      <c r="F3845" s="1">
        <v>41313</v>
      </c>
    </row>
    <row r="3846" spans="1:6" x14ac:dyDescent="0.25">
      <c r="A3846">
        <v>7007893</v>
      </c>
      <c r="B3846" t="s">
        <v>3895</v>
      </c>
      <c r="C3846" t="str">
        <f>"9780472119172"</f>
        <v>9780472119172</v>
      </c>
      <c r="D3846" t="str">
        <f>"9780472900961"</f>
        <v>9780472900961</v>
      </c>
      <c r="E3846" t="s">
        <v>689</v>
      </c>
      <c r="F3846" s="1">
        <v>41806</v>
      </c>
    </row>
    <row r="3847" spans="1:6" x14ac:dyDescent="0.25">
      <c r="A3847">
        <v>7007894</v>
      </c>
      <c r="B3847" t="s">
        <v>3896</v>
      </c>
      <c r="C3847" t="str">
        <f>"9780939512126"</f>
        <v>9780939512126</v>
      </c>
      <c r="D3847" t="str">
        <f>"9780472902040"</f>
        <v>9780472902040</v>
      </c>
      <c r="E3847" t="s">
        <v>2255</v>
      </c>
      <c r="F3847" s="1">
        <v>29952</v>
      </c>
    </row>
    <row r="3848" spans="1:6" x14ac:dyDescent="0.25">
      <c r="A3848">
        <v>7007896</v>
      </c>
      <c r="B3848" t="s">
        <v>3897</v>
      </c>
      <c r="C3848" t="str">
        <f>"9780891480112"</f>
        <v>9780891480112</v>
      </c>
      <c r="D3848" t="str">
        <f>"9780472901951"</f>
        <v>9780472901951</v>
      </c>
      <c r="E3848" t="s">
        <v>2248</v>
      </c>
      <c r="F3848" s="1">
        <v>27760</v>
      </c>
    </row>
    <row r="3849" spans="1:6" x14ac:dyDescent="0.25">
      <c r="A3849">
        <v>7007897</v>
      </c>
      <c r="B3849" t="s">
        <v>3898</v>
      </c>
      <c r="C3849" t="str">
        <f>"9780892640515"</f>
        <v>9780892640515</v>
      </c>
      <c r="D3849" t="str">
        <f>"9780472902231"</f>
        <v>9780472902231</v>
      </c>
      <c r="E3849" t="s">
        <v>2250</v>
      </c>
      <c r="F3849" s="1">
        <v>30711</v>
      </c>
    </row>
    <row r="3850" spans="1:6" x14ac:dyDescent="0.25">
      <c r="A3850">
        <v>7007898</v>
      </c>
      <c r="B3850" t="s">
        <v>3899</v>
      </c>
      <c r="C3850" t="str">
        <f>"9780939512959"</f>
        <v>9780939512959</v>
      </c>
      <c r="D3850" t="str">
        <f>"9780472901920"</f>
        <v>9780472901920</v>
      </c>
      <c r="E3850" t="s">
        <v>2255</v>
      </c>
      <c r="F3850" s="1">
        <v>36980</v>
      </c>
    </row>
    <row r="3851" spans="1:6" x14ac:dyDescent="0.25">
      <c r="A3851">
        <v>7007900</v>
      </c>
      <c r="B3851" t="s">
        <v>3900</v>
      </c>
      <c r="C3851" t="str">
        <f>"9780472117680"</f>
        <v>9780472117680</v>
      </c>
      <c r="D3851" t="str">
        <f>"9780472901197"</f>
        <v>9780472901197</v>
      </c>
      <c r="E3851" t="s">
        <v>689</v>
      </c>
      <c r="F3851" s="1">
        <v>40765</v>
      </c>
    </row>
    <row r="3852" spans="1:6" x14ac:dyDescent="0.25">
      <c r="A3852">
        <v>7007903</v>
      </c>
      <c r="B3852" t="s">
        <v>3901</v>
      </c>
      <c r="C3852" t="str">
        <f>"9780939512805"</f>
        <v>9780939512805</v>
      </c>
      <c r="D3852" t="str">
        <f>"9780472901401"</f>
        <v>9780472901401</v>
      </c>
      <c r="E3852" t="s">
        <v>2255</v>
      </c>
      <c r="F3852" s="1">
        <v>35672</v>
      </c>
    </row>
    <row r="3853" spans="1:6" x14ac:dyDescent="0.25">
      <c r="A3853">
        <v>7007905</v>
      </c>
      <c r="B3853" t="s">
        <v>3902</v>
      </c>
      <c r="C3853" t="str">
        <f>"9780472117932"</f>
        <v>9780472117932</v>
      </c>
      <c r="D3853" t="str">
        <f>"9780472900794"</f>
        <v>9780472900794</v>
      </c>
      <c r="E3853" t="s">
        <v>689</v>
      </c>
      <c r="F3853" s="1">
        <v>40816</v>
      </c>
    </row>
    <row r="3854" spans="1:6" x14ac:dyDescent="0.25">
      <c r="A3854">
        <v>7007907</v>
      </c>
      <c r="B3854" t="s">
        <v>3903</v>
      </c>
      <c r="C3854" t="str">
        <f>"9780472131402"</f>
        <v>9780472131402</v>
      </c>
      <c r="D3854" t="str">
        <f>"9780472901272"</f>
        <v>9780472901272</v>
      </c>
      <c r="E3854" t="s">
        <v>689</v>
      </c>
      <c r="F3854" s="1">
        <v>43622</v>
      </c>
    </row>
    <row r="3855" spans="1:6" x14ac:dyDescent="0.25">
      <c r="A3855">
        <v>7007908</v>
      </c>
      <c r="B3855" t="s">
        <v>3904</v>
      </c>
      <c r="C3855" t="str">
        <f>"9780892641635"</f>
        <v>9780892641635</v>
      </c>
      <c r="D3855" t="str">
        <f>"9780472901456"</f>
        <v>9780472901456</v>
      </c>
      <c r="E3855" t="s">
        <v>2250</v>
      </c>
      <c r="F3855" s="1">
        <v>38168</v>
      </c>
    </row>
    <row r="3856" spans="1:6" x14ac:dyDescent="0.25">
      <c r="A3856">
        <v>7007911</v>
      </c>
      <c r="B3856" t="s">
        <v>3905</v>
      </c>
      <c r="C3856" t="str">
        <f>"9780472118823"</f>
        <v>9780472118823</v>
      </c>
      <c r="D3856" t="str">
        <f>"9780472900985"</f>
        <v>9780472900985</v>
      </c>
      <c r="E3856" t="s">
        <v>689</v>
      </c>
      <c r="F3856" s="1">
        <v>41435</v>
      </c>
    </row>
    <row r="3857" spans="1:6" x14ac:dyDescent="0.25">
      <c r="A3857">
        <v>7007912</v>
      </c>
      <c r="B3857" t="s">
        <v>3906</v>
      </c>
      <c r="C3857" t="str">
        <f>"9780939512119"</f>
        <v>9780939512119</v>
      </c>
      <c r="D3857" t="str">
        <f>"9780472901906"</f>
        <v>9780472901906</v>
      </c>
      <c r="E3857" t="s">
        <v>2255</v>
      </c>
      <c r="F3857" s="1">
        <v>29952</v>
      </c>
    </row>
    <row r="3858" spans="1:6" x14ac:dyDescent="0.25">
      <c r="A3858">
        <v>7007913</v>
      </c>
      <c r="B3858" t="s">
        <v>3907</v>
      </c>
      <c r="C3858" t="str">
        <f>"9780891480532"</f>
        <v>9780891480532</v>
      </c>
      <c r="D3858" t="str">
        <f>"9780472902187"</f>
        <v>9780472902187</v>
      </c>
      <c r="E3858" t="s">
        <v>2248</v>
      </c>
      <c r="F3858" s="1">
        <v>27760</v>
      </c>
    </row>
    <row r="3859" spans="1:6" x14ac:dyDescent="0.25">
      <c r="A3859">
        <v>7007914</v>
      </c>
      <c r="B3859" t="s">
        <v>3908</v>
      </c>
      <c r="C3859" t="str">
        <f>"9780892640447"</f>
        <v>9780892640447</v>
      </c>
      <c r="D3859" t="str">
        <f>"9780472901777"</f>
        <v>9780472901777</v>
      </c>
      <c r="E3859" t="s">
        <v>2250</v>
      </c>
      <c r="F3859" s="1">
        <v>29982</v>
      </c>
    </row>
    <row r="3860" spans="1:6" x14ac:dyDescent="0.25">
      <c r="A3860">
        <v>7008482</v>
      </c>
      <c r="B3860" t="s">
        <v>3909</v>
      </c>
      <c r="C3860" t="str">
        <f>"9783030980719"</f>
        <v>9783030980719</v>
      </c>
      <c r="D3860" t="str">
        <f>"9783030980726"</f>
        <v>9783030980726</v>
      </c>
      <c r="E3860" t="s">
        <v>756</v>
      </c>
      <c r="F3860" s="1">
        <v>44715</v>
      </c>
    </row>
    <row r="3861" spans="1:6" x14ac:dyDescent="0.25">
      <c r="A3861">
        <v>7009591</v>
      </c>
      <c r="B3861" t="s">
        <v>3910</v>
      </c>
      <c r="C3861" t="str">
        <f>"9780975747520"</f>
        <v>9780975747520</v>
      </c>
      <c r="D3861" t="str">
        <f>"9780975747537"</f>
        <v>9780975747537</v>
      </c>
      <c r="E3861" t="s">
        <v>578</v>
      </c>
      <c r="F3861" s="1">
        <v>38596</v>
      </c>
    </row>
    <row r="3862" spans="1:6" x14ac:dyDescent="0.25">
      <c r="A3862">
        <v>7009592</v>
      </c>
      <c r="B3862" t="s">
        <v>3911</v>
      </c>
      <c r="C3862" t="str">
        <f>"9780980361605"</f>
        <v>9780980361605</v>
      </c>
      <c r="D3862" t="str">
        <f>"9780980361612"</f>
        <v>9780980361612</v>
      </c>
      <c r="E3862" t="s">
        <v>578</v>
      </c>
      <c r="F3862" s="1">
        <v>39326</v>
      </c>
    </row>
    <row r="3863" spans="1:6" x14ac:dyDescent="0.25">
      <c r="A3863">
        <v>7013142</v>
      </c>
      <c r="B3863" t="s">
        <v>3912</v>
      </c>
      <c r="C3863" t="str">
        <f>"9783658376802"</f>
        <v>9783658376802</v>
      </c>
      <c r="D3863" t="str">
        <f>"9783658376819"</f>
        <v>9783658376819</v>
      </c>
      <c r="E3863" t="s">
        <v>1391</v>
      </c>
      <c r="F3863" s="1">
        <v>44758</v>
      </c>
    </row>
    <row r="3864" spans="1:6" x14ac:dyDescent="0.25">
      <c r="A3864">
        <v>7013146</v>
      </c>
      <c r="B3864" t="s">
        <v>3913</v>
      </c>
      <c r="C3864" t="str">
        <f>"9783031009273"</f>
        <v>9783031009273</v>
      </c>
      <c r="D3864" t="str">
        <f>"9783031009280"</f>
        <v>9783031009280</v>
      </c>
      <c r="E3864" t="s">
        <v>756</v>
      </c>
      <c r="F3864" s="1">
        <v>44751</v>
      </c>
    </row>
    <row r="3865" spans="1:6" x14ac:dyDescent="0.25">
      <c r="A3865">
        <v>7013184</v>
      </c>
      <c r="B3865" t="s">
        <v>3914</v>
      </c>
      <c r="C3865" t="str">
        <f>"9783030990060"</f>
        <v>9783030990060</v>
      </c>
      <c r="D3865" t="str">
        <f>"9783030990077"</f>
        <v>9783030990077</v>
      </c>
      <c r="E3865" t="s">
        <v>756</v>
      </c>
      <c r="F3865" s="1">
        <v>44721</v>
      </c>
    </row>
    <row r="3866" spans="1:6" x14ac:dyDescent="0.25">
      <c r="A3866">
        <v>7013930</v>
      </c>
      <c r="B3866" t="s">
        <v>3915</v>
      </c>
      <c r="C3866" t="str">
        <f>"9789811915512"</f>
        <v>9789811915512</v>
      </c>
      <c r="D3866" t="str">
        <f>"9789811915529"</f>
        <v>9789811915529</v>
      </c>
      <c r="E3866" t="s">
        <v>757</v>
      </c>
      <c r="F3866" s="1">
        <v>44706</v>
      </c>
    </row>
    <row r="3867" spans="1:6" x14ac:dyDescent="0.25">
      <c r="A3867">
        <v>7014256</v>
      </c>
      <c r="B3867" t="s">
        <v>3916</v>
      </c>
      <c r="C3867" t="str">
        <f>""</f>
        <v/>
      </c>
      <c r="D3867" t="str">
        <f>"9788366675643"</f>
        <v>9788366675643</v>
      </c>
      <c r="E3867" t="s">
        <v>73</v>
      </c>
      <c r="F3867" s="1">
        <v>44561</v>
      </c>
    </row>
    <row r="3868" spans="1:6" x14ac:dyDescent="0.25">
      <c r="A3868">
        <v>7014806</v>
      </c>
      <c r="B3868" t="s">
        <v>3917</v>
      </c>
      <c r="C3868" t="str">
        <f>"9783486563955"</f>
        <v>9783486563955</v>
      </c>
      <c r="D3868" t="str">
        <f>"9783486594423"</f>
        <v>9783486594423</v>
      </c>
      <c r="E3868" t="s">
        <v>73</v>
      </c>
      <c r="F3868" s="1">
        <v>36439</v>
      </c>
    </row>
    <row r="3869" spans="1:6" x14ac:dyDescent="0.25">
      <c r="A3869">
        <v>7014807</v>
      </c>
      <c r="B3869" t="s">
        <v>3918</v>
      </c>
      <c r="C3869" t="str">
        <f>""</f>
        <v/>
      </c>
      <c r="D3869" t="str">
        <f>"9783110758009"</f>
        <v>9783110758009</v>
      </c>
      <c r="E3869" t="s">
        <v>73</v>
      </c>
      <c r="F3869" s="1">
        <v>44550</v>
      </c>
    </row>
    <row r="3870" spans="1:6" x14ac:dyDescent="0.25">
      <c r="A3870">
        <v>7014808</v>
      </c>
      <c r="B3870" t="s">
        <v>3919</v>
      </c>
      <c r="C3870" t="str">
        <f>"9783486545111"</f>
        <v>9783486545111</v>
      </c>
      <c r="D3870" t="str">
        <f>"9783486595550"</f>
        <v>9783486595550</v>
      </c>
      <c r="E3870" t="s">
        <v>73</v>
      </c>
      <c r="F3870" s="1">
        <v>32491</v>
      </c>
    </row>
    <row r="3871" spans="1:6" x14ac:dyDescent="0.25">
      <c r="A3871">
        <v>7014809</v>
      </c>
      <c r="B3871" t="s">
        <v>3920</v>
      </c>
      <c r="C3871" t="str">
        <f>""</f>
        <v/>
      </c>
      <c r="D3871" t="str">
        <f>"9783111574066"</f>
        <v>9783111574066</v>
      </c>
      <c r="E3871" t="s">
        <v>73</v>
      </c>
      <c r="F3871" s="1">
        <v>1187</v>
      </c>
    </row>
    <row r="3872" spans="1:6" x14ac:dyDescent="0.25">
      <c r="A3872">
        <v>7014810</v>
      </c>
      <c r="B3872" t="s">
        <v>3921</v>
      </c>
      <c r="C3872" t="str">
        <f>""</f>
        <v/>
      </c>
      <c r="D3872" t="str">
        <f>"9783110720341"</f>
        <v>9783110720341</v>
      </c>
      <c r="E3872" t="s">
        <v>73</v>
      </c>
      <c r="F3872" s="1">
        <v>43025</v>
      </c>
    </row>
    <row r="3873" spans="1:6" x14ac:dyDescent="0.25">
      <c r="A3873">
        <v>7014812</v>
      </c>
      <c r="B3873" t="s">
        <v>3922</v>
      </c>
      <c r="C3873" t="str">
        <f>""</f>
        <v/>
      </c>
      <c r="D3873" t="str">
        <f>"9783110720136"</f>
        <v>9783110720136</v>
      </c>
      <c r="E3873" t="s">
        <v>73</v>
      </c>
      <c r="F3873" s="1">
        <v>42265</v>
      </c>
    </row>
    <row r="3874" spans="1:6" x14ac:dyDescent="0.25">
      <c r="A3874">
        <v>7014813</v>
      </c>
      <c r="B3874" t="s">
        <v>3923</v>
      </c>
      <c r="C3874" t="str">
        <f>""</f>
        <v/>
      </c>
      <c r="D3874" t="str">
        <f>"9783110705805"</f>
        <v>9783110705805</v>
      </c>
      <c r="E3874" t="s">
        <v>73</v>
      </c>
      <c r="F3874" s="1">
        <v>44214</v>
      </c>
    </row>
    <row r="3875" spans="1:6" x14ac:dyDescent="0.25">
      <c r="A3875">
        <v>7014814</v>
      </c>
      <c r="B3875" t="s">
        <v>3924</v>
      </c>
      <c r="C3875" t="str">
        <f>""</f>
        <v/>
      </c>
      <c r="D3875" t="str">
        <f>"9783110703443"</f>
        <v>9783110703443</v>
      </c>
      <c r="E3875" t="s">
        <v>73</v>
      </c>
      <c r="F3875" s="1">
        <v>44446</v>
      </c>
    </row>
    <row r="3876" spans="1:6" x14ac:dyDescent="0.25">
      <c r="A3876">
        <v>7014815</v>
      </c>
      <c r="B3876" t="s">
        <v>3925</v>
      </c>
      <c r="C3876" t="str">
        <f>"9781501511400"</f>
        <v>9781501511400</v>
      </c>
      <c r="D3876" t="str">
        <f>"9781501503191"</f>
        <v>9781501503191</v>
      </c>
      <c r="E3876" t="s">
        <v>53</v>
      </c>
      <c r="F3876" s="1">
        <v>44263</v>
      </c>
    </row>
    <row r="3877" spans="1:6" x14ac:dyDescent="0.25">
      <c r="A3877">
        <v>7014816</v>
      </c>
      <c r="B3877" t="s">
        <v>3926</v>
      </c>
      <c r="C3877" t="str">
        <f>""</f>
        <v/>
      </c>
      <c r="D3877" t="str">
        <f>"9783110720051"</f>
        <v>9783110720051</v>
      </c>
      <c r="E3877" t="s">
        <v>73</v>
      </c>
      <c r="F3877" s="1">
        <v>40648</v>
      </c>
    </row>
    <row r="3878" spans="1:6" x14ac:dyDescent="0.25">
      <c r="A3878">
        <v>7014817</v>
      </c>
      <c r="B3878" t="s">
        <v>3927</v>
      </c>
      <c r="C3878" t="str">
        <f>"9783110526561"</f>
        <v>9783110526561</v>
      </c>
      <c r="D3878" t="str">
        <f>"9783110534696"</f>
        <v>9783110534696</v>
      </c>
      <c r="E3878" t="s">
        <v>73</v>
      </c>
      <c r="F3878" s="1">
        <v>43381</v>
      </c>
    </row>
    <row r="3879" spans="1:6" x14ac:dyDescent="0.25">
      <c r="A3879">
        <v>7014818</v>
      </c>
      <c r="B3879" t="s">
        <v>3928</v>
      </c>
      <c r="C3879" t="str">
        <f>""</f>
        <v/>
      </c>
      <c r="D3879" t="str">
        <f>"9783110707151"</f>
        <v>9783110707151</v>
      </c>
      <c r="E3879" t="s">
        <v>73</v>
      </c>
      <c r="F3879" s="1">
        <v>44130</v>
      </c>
    </row>
    <row r="3880" spans="1:6" x14ac:dyDescent="0.25">
      <c r="A3880">
        <v>7014819</v>
      </c>
      <c r="B3880" t="s">
        <v>3929</v>
      </c>
      <c r="C3880" t="str">
        <f>""</f>
        <v/>
      </c>
      <c r="D3880" t="str">
        <f>"9783110716207"</f>
        <v>9783110716207</v>
      </c>
      <c r="E3880" t="s">
        <v>73</v>
      </c>
      <c r="F3880" s="1">
        <v>44522</v>
      </c>
    </row>
    <row r="3881" spans="1:6" x14ac:dyDescent="0.25">
      <c r="A3881">
        <v>7014820</v>
      </c>
      <c r="B3881" t="s">
        <v>3930</v>
      </c>
      <c r="C3881" t="str">
        <f>""</f>
        <v/>
      </c>
      <c r="D3881" t="str">
        <f>"9783035624373"</f>
        <v>9783035624373</v>
      </c>
      <c r="E3881" t="s">
        <v>73</v>
      </c>
      <c r="F3881" s="1">
        <v>44561</v>
      </c>
    </row>
    <row r="3882" spans="1:6" x14ac:dyDescent="0.25">
      <c r="A3882">
        <v>7014821</v>
      </c>
      <c r="B3882" t="s">
        <v>3931</v>
      </c>
      <c r="C3882" t="str">
        <f>""</f>
        <v/>
      </c>
      <c r="D3882" t="str">
        <f>"9783110688719"</f>
        <v>9783110688719</v>
      </c>
      <c r="E3882" t="s">
        <v>73</v>
      </c>
      <c r="F3882" s="1">
        <v>44277</v>
      </c>
    </row>
    <row r="3883" spans="1:6" x14ac:dyDescent="0.25">
      <c r="A3883">
        <v>7014822</v>
      </c>
      <c r="B3883" t="s">
        <v>3932</v>
      </c>
      <c r="C3883" t="str">
        <f>""</f>
        <v/>
      </c>
      <c r="D3883" t="str">
        <f>"9783110440577"</f>
        <v>9783110440577</v>
      </c>
      <c r="E3883" t="s">
        <v>53</v>
      </c>
      <c r="F3883" s="1">
        <v>43941</v>
      </c>
    </row>
    <row r="3884" spans="1:6" x14ac:dyDescent="0.25">
      <c r="A3884">
        <v>7014823</v>
      </c>
      <c r="B3884" t="s">
        <v>3933</v>
      </c>
      <c r="C3884" t="str">
        <f>""</f>
        <v/>
      </c>
      <c r="D3884" t="str">
        <f>"9783110720372"</f>
        <v>9783110720372</v>
      </c>
      <c r="E3884" t="s">
        <v>73</v>
      </c>
      <c r="F3884" s="1">
        <v>43276</v>
      </c>
    </row>
    <row r="3885" spans="1:6" x14ac:dyDescent="0.25">
      <c r="A3885">
        <v>7014824</v>
      </c>
      <c r="B3885" t="s">
        <v>3934</v>
      </c>
      <c r="C3885" t="str">
        <f>""</f>
        <v/>
      </c>
      <c r="D3885" t="str">
        <f>"9783111685328"</f>
        <v>9783111685328</v>
      </c>
      <c r="E3885" t="s">
        <v>73</v>
      </c>
      <c r="F3885" t="s">
        <v>3935</v>
      </c>
    </row>
    <row r="3886" spans="1:6" x14ac:dyDescent="0.25">
      <c r="A3886">
        <v>7014825</v>
      </c>
      <c r="B3886" t="s">
        <v>3936</v>
      </c>
      <c r="C3886" t="str">
        <f>""</f>
        <v/>
      </c>
      <c r="D3886" t="str">
        <f>"9783486767797"</f>
        <v>9783486767797</v>
      </c>
      <c r="E3886" t="s">
        <v>73</v>
      </c>
      <c r="F3886" s="1">
        <v>12055</v>
      </c>
    </row>
    <row r="3887" spans="1:6" x14ac:dyDescent="0.25">
      <c r="A3887">
        <v>7014826</v>
      </c>
      <c r="B3887" t="s">
        <v>3937</v>
      </c>
      <c r="C3887" t="str">
        <f>""</f>
        <v/>
      </c>
      <c r="D3887" t="str">
        <f>"9783110720310"</f>
        <v>9783110720310</v>
      </c>
      <c r="E3887" t="s">
        <v>73</v>
      </c>
      <c r="F3887" s="1">
        <v>42551</v>
      </c>
    </row>
    <row r="3888" spans="1:6" x14ac:dyDescent="0.25">
      <c r="A3888">
        <v>7014827</v>
      </c>
      <c r="B3888" t="s">
        <v>3938</v>
      </c>
      <c r="C3888" t="str">
        <f>""</f>
        <v/>
      </c>
      <c r="D3888" t="str">
        <f>"9783110740202"</f>
        <v>9783110740202</v>
      </c>
      <c r="E3888" t="s">
        <v>73</v>
      </c>
      <c r="F3888" s="1">
        <v>44446</v>
      </c>
    </row>
    <row r="3889" spans="1:6" x14ac:dyDescent="0.25">
      <c r="A3889">
        <v>7014828</v>
      </c>
      <c r="B3889" t="s">
        <v>3939</v>
      </c>
      <c r="C3889" t="str">
        <f>""</f>
        <v/>
      </c>
      <c r="D3889" t="str">
        <f>"9783110693461"</f>
        <v>9783110693461</v>
      </c>
      <c r="E3889" t="s">
        <v>73</v>
      </c>
      <c r="F3889" s="1">
        <v>44053</v>
      </c>
    </row>
    <row r="3890" spans="1:6" x14ac:dyDescent="0.25">
      <c r="A3890">
        <v>7014829</v>
      </c>
      <c r="B3890" t="s">
        <v>3940</v>
      </c>
      <c r="C3890" t="str">
        <f>""</f>
        <v/>
      </c>
      <c r="D3890" t="str">
        <f>"9783486594249"</f>
        <v>9783486594249</v>
      </c>
      <c r="E3890" t="s">
        <v>73</v>
      </c>
      <c r="F3890" s="1">
        <v>35459</v>
      </c>
    </row>
    <row r="3891" spans="1:6" x14ac:dyDescent="0.25">
      <c r="A3891">
        <v>7014830</v>
      </c>
      <c r="B3891" t="s">
        <v>3941</v>
      </c>
      <c r="C3891" t="str">
        <f>""</f>
        <v/>
      </c>
      <c r="D3891" t="str">
        <f>"9783111342429"</f>
        <v>9783111342429</v>
      </c>
      <c r="E3891" t="s">
        <v>53</v>
      </c>
      <c r="F3891" s="1">
        <v>27120</v>
      </c>
    </row>
    <row r="3892" spans="1:6" x14ac:dyDescent="0.25">
      <c r="A3892">
        <v>7014831</v>
      </c>
      <c r="B3892" t="s">
        <v>3942</v>
      </c>
      <c r="C3892" t="str">
        <f>""</f>
        <v/>
      </c>
      <c r="D3892" t="str">
        <f>"9788395815041"</f>
        <v>9788395815041</v>
      </c>
      <c r="E3892" t="s">
        <v>73</v>
      </c>
      <c r="F3892" s="1">
        <v>44249</v>
      </c>
    </row>
    <row r="3893" spans="1:6" x14ac:dyDescent="0.25">
      <c r="A3893">
        <v>7014832</v>
      </c>
      <c r="B3893" t="s">
        <v>3943</v>
      </c>
      <c r="C3893" t="str">
        <f>""</f>
        <v/>
      </c>
      <c r="D3893" t="str">
        <f>"9783110726305"</f>
        <v>9783110726305</v>
      </c>
      <c r="E3893" t="s">
        <v>73</v>
      </c>
      <c r="F3893" s="1">
        <v>44382</v>
      </c>
    </row>
    <row r="3894" spans="1:6" x14ac:dyDescent="0.25">
      <c r="A3894">
        <v>7014833</v>
      </c>
      <c r="B3894" t="s">
        <v>3944</v>
      </c>
      <c r="C3894" t="str">
        <f>""</f>
        <v/>
      </c>
      <c r="D3894" t="str">
        <f>"9783111729107"</f>
        <v>9783111729107</v>
      </c>
      <c r="E3894" t="s">
        <v>53</v>
      </c>
      <c r="F3894" s="1">
        <v>27485</v>
      </c>
    </row>
    <row r="3895" spans="1:6" x14ac:dyDescent="0.25">
      <c r="A3895">
        <v>7014834</v>
      </c>
      <c r="B3895" t="s">
        <v>3945</v>
      </c>
      <c r="C3895" t="str">
        <f>""</f>
        <v/>
      </c>
      <c r="D3895" t="str">
        <f>"9783110713015"</f>
        <v>9783110713015</v>
      </c>
      <c r="E3895" t="s">
        <v>73</v>
      </c>
      <c r="F3895" s="1">
        <v>44181</v>
      </c>
    </row>
    <row r="3896" spans="1:6" x14ac:dyDescent="0.25">
      <c r="A3896">
        <v>7014835</v>
      </c>
      <c r="B3896" t="s">
        <v>3946</v>
      </c>
      <c r="C3896" t="str">
        <f>""</f>
        <v/>
      </c>
      <c r="D3896" t="str">
        <f>"9788395669613"</f>
        <v>9788395669613</v>
      </c>
      <c r="E3896" t="s">
        <v>73</v>
      </c>
      <c r="F3896" s="1">
        <v>44966</v>
      </c>
    </row>
    <row r="3897" spans="1:6" x14ac:dyDescent="0.25">
      <c r="A3897">
        <v>7014836</v>
      </c>
      <c r="B3897" t="s">
        <v>3947</v>
      </c>
      <c r="C3897" t="str">
        <f>""</f>
        <v/>
      </c>
      <c r="D3897" t="str">
        <f>"9783111409832"</f>
        <v>9783111409832</v>
      </c>
      <c r="E3897" t="s">
        <v>73</v>
      </c>
      <c r="F3897" s="1">
        <v>26390</v>
      </c>
    </row>
    <row r="3898" spans="1:6" x14ac:dyDescent="0.25">
      <c r="A3898">
        <v>7014837</v>
      </c>
      <c r="B3898" t="s">
        <v>3948</v>
      </c>
      <c r="C3898" t="str">
        <f>""</f>
        <v/>
      </c>
      <c r="D3898" t="str">
        <f>"9783110741124"</f>
        <v>9783110741124</v>
      </c>
      <c r="E3898" t="s">
        <v>73</v>
      </c>
      <c r="F3898" s="1">
        <v>44382</v>
      </c>
    </row>
    <row r="3899" spans="1:6" x14ac:dyDescent="0.25">
      <c r="A3899">
        <v>7014838</v>
      </c>
      <c r="B3899" t="s">
        <v>3949</v>
      </c>
      <c r="C3899" t="str">
        <f>""</f>
        <v/>
      </c>
      <c r="D3899" t="str">
        <f>"9783110701319"</f>
        <v>9783110701319</v>
      </c>
      <c r="E3899" t="s">
        <v>73</v>
      </c>
      <c r="F3899" s="1">
        <v>44095</v>
      </c>
    </row>
    <row r="3900" spans="1:6" x14ac:dyDescent="0.25">
      <c r="A3900">
        <v>7014839</v>
      </c>
      <c r="B3900" t="s">
        <v>3950</v>
      </c>
      <c r="C3900" t="str">
        <f>""</f>
        <v/>
      </c>
      <c r="D3900" t="str">
        <f>"9783111572840"</f>
        <v>9783111572840</v>
      </c>
      <c r="E3900" t="s">
        <v>73</v>
      </c>
      <c r="F3900" t="s">
        <v>3951</v>
      </c>
    </row>
    <row r="3901" spans="1:6" x14ac:dyDescent="0.25">
      <c r="A3901">
        <v>7014840</v>
      </c>
      <c r="B3901" t="s">
        <v>3952</v>
      </c>
      <c r="C3901" t="str">
        <f>""</f>
        <v/>
      </c>
      <c r="D3901" t="str">
        <f>"9783110731958"</f>
        <v>9783110731958</v>
      </c>
      <c r="E3901" t="s">
        <v>73</v>
      </c>
      <c r="F3901" s="1">
        <v>44446</v>
      </c>
    </row>
    <row r="3902" spans="1:6" x14ac:dyDescent="0.25">
      <c r="A3902">
        <v>7014841</v>
      </c>
      <c r="B3902" t="s">
        <v>3953</v>
      </c>
      <c r="C3902" t="str">
        <f>""</f>
        <v/>
      </c>
      <c r="D3902" t="str">
        <f>"9783486754728"</f>
        <v>9783486754728</v>
      </c>
      <c r="E3902" t="s">
        <v>73</v>
      </c>
      <c r="F3902" s="1">
        <v>9863</v>
      </c>
    </row>
    <row r="3903" spans="1:6" x14ac:dyDescent="0.25">
      <c r="A3903">
        <v>7014842</v>
      </c>
      <c r="B3903" t="s">
        <v>3954</v>
      </c>
      <c r="C3903" t="str">
        <f>""</f>
        <v/>
      </c>
      <c r="D3903" t="str">
        <f>"9783110670523"</f>
        <v>9783110670523</v>
      </c>
      <c r="E3903" t="s">
        <v>73</v>
      </c>
      <c r="F3903" s="1">
        <v>44067</v>
      </c>
    </row>
    <row r="3904" spans="1:6" x14ac:dyDescent="0.25">
      <c r="A3904">
        <v>7014843</v>
      </c>
      <c r="B3904" t="s">
        <v>3955</v>
      </c>
      <c r="C3904" t="str">
        <f>"9783110601282"</f>
        <v>9783110601282</v>
      </c>
      <c r="D3904" t="str">
        <f>"9783110601299"</f>
        <v>9783110601299</v>
      </c>
      <c r="E3904" t="s">
        <v>73</v>
      </c>
      <c r="F3904" s="1">
        <v>43300</v>
      </c>
    </row>
    <row r="3905" spans="1:6" x14ac:dyDescent="0.25">
      <c r="A3905">
        <v>7014844</v>
      </c>
      <c r="B3905" t="s">
        <v>3956</v>
      </c>
      <c r="C3905" t="str">
        <f>""</f>
        <v/>
      </c>
      <c r="D3905" t="str">
        <f>"9783110572933"</f>
        <v>9783110572933</v>
      </c>
      <c r="E3905" t="s">
        <v>73</v>
      </c>
      <c r="F3905" s="1">
        <v>44508</v>
      </c>
    </row>
    <row r="3906" spans="1:6" x14ac:dyDescent="0.25">
      <c r="A3906">
        <v>7014845</v>
      </c>
      <c r="B3906" t="s">
        <v>3957</v>
      </c>
      <c r="C3906" t="str">
        <f>""</f>
        <v/>
      </c>
      <c r="D3906" t="str">
        <f>"9783110671971"</f>
        <v>9783110671971</v>
      </c>
      <c r="E3906" t="s">
        <v>73</v>
      </c>
      <c r="F3906" s="1">
        <v>44522</v>
      </c>
    </row>
    <row r="3907" spans="1:6" x14ac:dyDescent="0.25">
      <c r="A3907">
        <v>7014846</v>
      </c>
      <c r="B3907" t="s">
        <v>3958</v>
      </c>
      <c r="C3907" t="str">
        <f>""</f>
        <v/>
      </c>
      <c r="D3907" t="str">
        <f>"9783035622751"</f>
        <v>9783035622751</v>
      </c>
      <c r="E3907" t="s">
        <v>73</v>
      </c>
      <c r="F3907" s="1">
        <v>44186</v>
      </c>
    </row>
    <row r="3908" spans="1:6" x14ac:dyDescent="0.25">
      <c r="A3908">
        <v>7014847</v>
      </c>
      <c r="B3908" t="s">
        <v>3959</v>
      </c>
      <c r="C3908" t="str">
        <f>""</f>
        <v/>
      </c>
      <c r="D3908" t="str">
        <f>"9783110697667"</f>
        <v>9783110697667</v>
      </c>
      <c r="E3908" t="s">
        <v>73</v>
      </c>
      <c r="F3908" s="1">
        <v>44158</v>
      </c>
    </row>
    <row r="3909" spans="1:6" x14ac:dyDescent="0.25">
      <c r="A3909">
        <v>7014848</v>
      </c>
      <c r="B3909" t="s">
        <v>3960</v>
      </c>
      <c r="C3909" t="str">
        <f>""</f>
        <v/>
      </c>
      <c r="D3909" t="str">
        <f>"9783110476958"</f>
        <v>9783110476958</v>
      </c>
      <c r="E3909" t="s">
        <v>73</v>
      </c>
      <c r="F3909" s="1">
        <v>43451</v>
      </c>
    </row>
    <row r="3910" spans="1:6" x14ac:dyDescent="0.25">
      <c r="A3910">
        <v>7014849</v>
      </c>
      <c r="B3910" t="s">
        <v>3961</v>
      </c>
      <c r="C3910" t="str">
        <f>""</f>
        <v/>
      </c>
      <c r="D3910" t="str">
        <f>"9783110592153"</f>
        <v>9783110592153</v>
      </c>
      <c r="E3910" t="s">
        <v>73</v>
      </c>
      <c r="F3910" s="1">
        <v>44473</v>
      </c>
    </row>
    <row r="3911" spans="1:6" x14ac:dyDescent="0.25">
      <c r="A3911">
        <v>7014850</v>
      </c>
      <c r="B3911" t="s">
        <v>3962</v>
      </c>
      <c r="C3911" t="str">
        <f>""</f>
        <v/>
      </c>
      <c r="D3911" t="str">
        <f>"9783110720280"</f>
        <v>9783110720280</v>
      </c>
      <c r="E3911" t="s">
        <v>73</v>
      </c>
      <c r="F3911" s="1">
        <v>42576</v>
      </c>
    </row>
    <row r="3912" spans="1:6" x14ac:dyDescent="0.25">
      <c r="A3912">
        <v>7014851</v>
      </c>
      <c r="B3912" t="s">
        <v>3963</v>
      </c>
      <c r="C3912" t="str">
        <f>""</f>
        <v/>
      </c>
      <c r="D3912" t="str">
        <f>"9783110740516"</f>
        <v>9783110740516</v>
      </c>
      <c r="E3912" t="s">
        <v>73</v>
      </c>
      <c r="F3912" s="1">
        <v>44522</v>
      </c>
    </row>
    <row r="3913" spans="1:6" x14ac:dyDescent="0.25">
      <c r="A3913">
        <v>7014852</v>
      </c>
      <c r="B3913" t="s">
        <v>3964</v>
      </c>
      <c r="C3913" t="str">
        <f>""</f>
        <v/>
      </c>
      <c r="D3913" t="str">
        <f>"9783110722383"</f>
        <v>9783110722383</v>
      </c>
      <c r="E3913" t="s">
        <v>73</v>
      </c>
      <c r="F3913" s="1">
        <v>44473</v>
      </c>
    </row>
    <row r="3914" spans="1:6" x14ac:dyDescent="0.25">
      <c r="A3914">
        <v>7014853</v>
      </c>
      <c r="B3914" t="s">
        <v>3965</v>
      </c>
      <c r="C3914" t="str">
        <f>"9783486568172"</f>
        <v>9783486568172</v>
      </c>
      <c r="D3914" t="str">
        <f>"9783486594614"</f>
        <v>9783486594614</v>
      </c>
      <c r="E3914" t="s">
        <v>73</v>
      </c>
      <c r="F3914" s="1">
        <v>38217</v>
      </c>
    </row>
    <row r="3915" spans="1:6" x14ac:dyDescent="0.25">
      <c r="A3915">
        <v>7014854</v>
      </c>
      <c r="B3915" t="s">
        <v>3966</v>
      </c>
      <c r="C3915" t="str">
        <f>""</f>
        <v/>
      </c>
      <c r="D3915" t="str">
        <f>"9783110679403"</f>
        <v>9783110679403</v>
      </c>
      <c r="E3915" t="s">
        <v>73</v>
      </c>
      <c r="F3915" s="1">
        <v>44172</v>
      </c>
    </row>
    <row r="3916" spans="1:6" x14ac:dyDescent="0.25">
      <c r="A3916">
        <v>7014855</v>
      </c>
      <c r="B3916" t="s">
        <v>3967</v>
      </c>
      <c r="C3916" t="str">
        <f>""</f>
        <v/>
      </c>
      <c r="D3916" t="str">
        <f>"9783110671827"</f>
        <v>9783110671827</v>
      </c>
      <c r="E3916" t="s">
        <v>73</v>
      </c>
      <c r="F3916" s="1">
        <v>44116</v>
      </c>
    </row>
    <row r="3917" spans="1:6" x14ac:dyDescent="0.25">
      <c r="A3917">
        <v>7014856</v>
      </c>
      <c r="B3917" t="s">
        <v>3968</v>
      </c>
      <c r="C3917" t="str">
        <f>""</f>
        <v/>
      </c>
      <c r="D3917" t="str">
        <f>"9783111591315"</f>
        <v>9783111591315</v>
      </c>
      <c r="E3917" t="s">
        <v>73</v>
      </c>
      <c r="F3917" t="s">
        <v>3951</v>
      </c>
    </row>
    <row r="3918" spans="1:6" x14ac:dyDescent="0.25">
      <c r="A3918">
        <v>7014857</v>
      </c>
      <c r="B3918" t="s">
        <v>3969</v>
      </c>
      <c r="C3918" t="str">
        <f>""</f>
        <v/>
      </c>
      <c r="D3918" t="str">
        <f>"9783111677347"</f>
        <v>9783111677347</v>
      </c>
      <c r="E3918" t="s">
        <v>73</v>
      </c>
      <c r="F3918" s="1">
        <v>26755</v>
      </c>
    </row>
    <row r="3919" spans="1:6" x14ac:dyDescent="0.25">
      <c r="A3919">
        <v>7014859</v>
      </c>
      <c r="B3919" t="s">
        <v>3970</v>
      </c>
      <c r="C3919" t="str">
        <f>""</f>
        <v/>
      </c>
      <c r="D3919" t="str">
        <f>"9783111562575"</f>
        <v>9783111562575</v>
      </c>
      <c r="E3919" t="s">
        <v>53</v>
      </c>
      <c r="F3919" s="1">
        <v>24929</v>
      </c>
    </row>
    <row r="3920" spans="1:6" x14ac:dyDescent="0.25">
      <c r="A3920">
        <v>7014860</v>
      </c>
      <c r="B3920" t="s">
        <v>3971</v>
      </c>
      <c r="C3920" t="str">
        <f>""</f>
        <v/>
      </c>
      <c r="D3920" t="str">
        <f>"9783111715599"</f>
        <v>9783111715599</v>
      </c>
      <c r="E3920" t="s">
        <v>73</v>
      </c>
      <c r="F3920" s="1">
        <v>21641</v>
      </c>
    </row>
    <row r="3921" spans="1:6" x14ac:dyDescent="0.25">
      <c r="A3921">
        <v>7014861</v>
      </c>
      <c r="B3921" t="s">
        <v>3972</v>
      </c>
      <c r="C3921" t="str">
        <f>""</f>
        <v/>
      </c>
      <c r="D3921" t="str">
        <f>"9783111463216"</f>
        <v>9783111463216</v>
      </c>
      <c r="E3921" t="s">
        <v>73</v>
      </c>
      <c r="F3921" s="1">
        <v>92</v>
      </c>
    </row>
    <row r="3922" spans="1:6" x14ac:dyDescent="0.25">
      <c r="A3922">
        <v>7014862</v>
      </c>
      <c r="B3922" t="s">
        <v>3973</v>
      </c>
      <c r="C3922" t="str">
        <f>""</f>
        <v/>
      </c>
      <c r="D3922" t="str">
        <f>"9783111536491"</f>
        <v>9783111536491</v>
      </c>
      <c r="E3922" t="s">
        <v>73</v>
      </c>
      <c r="F3922" s="1">
        <v>25659</v>
      </c>
    </row>
    <row r="3923" spans="1:6" x14ac:dyDescent="0.25">
      <c r="A3923">
        <v>7014863</v>
      </c>
      <c r="B3923" t="s">
        <v>3974</v>
      </c>
      <c r="C3923" t="str">
        <f>"9783111317946"</f>
        <v>9783111317946</v>
      </c>
      <c r="D3923" t="str">
        <f>"9783111707464"</f>
        <v>9783111707464</v>
      </c>
      <c r="E3923" t="s">
        <v>73</v>
      </c>
      <c r="F3923" s="1">
        <v>5205</v>
      </c>
    </row>
    <row r="3924" spans="1:6" x14ac:dyDescent="0.25">
      <c r="A3924">
        <v>7014864</v>
      </c>
      <c r="B3924" t="s">
        <v>3975</v>
      </c>
      <c r="C3924" t="str">
        <f>""</f>
        <v/>
      </c>
      <c r="D3924" t="str">
        <f>"9783110712247"</f>
        <v>9783110712247</v>
      </c>
      <c r="E3924" t="s">
        <v>73</v>
      </c>
      <c r="F3924" s="1">
        <v>44277</v>
      </c>
    </row>
    <row r="3925" spans="1:6" x14ac:dyDescent="0.25">
      <c r="A3925">
        <v>7014865</v>
      </c>
      <c r="B3925" t="s">
        <v>3976</v>
      </c>
      <c r="C3925" t="str">
        <f>""</f>
        <v/>
      </c>
      <c r="D3925" t="str">
        <f>"9783110716313"</f>
        <v>9783110716313</v>
      </c>
      <c r="E3925" t="s">
        <v>73</v>
      </c>
      <c r="F3925" s="1">
        <v>44172</v>
      </c>
    </row>
    <row r="3926" spans="1:6" x14ac:dyDescent="0.25">
      <c r="A3926">
        <v>7014866</v>
      </c>
      <c r="B3926" t="s">
        <v>3977</v>
      </c>
      <c r="C3926" t="str">
        <f>""</f>
        <v/>
      </c>
      <c r="D3926" t="str">
        <f>"9788366675308"</f>
        <v>9788366675308</v>
      </c>
      <c r="E3926" t="s">
        <v>73</v>
      </c>
      <c r="F3926" s="1">
        <v>44760</v>
      </c>
    </row>
    <row r="3927" spans="1:6" x14ac:dyDescent="0.25">
      <c r="A3927">
        <v>7014867</v>
      </c>
      <c r="B3927" t="s">
        <v>3978</v>
      </c>
      <c r="C3927" t="str">
        <f>""</f>
        <v/>
      </c>
      <c r="D3927" t="str">
        <f>"9783110711356"</f>
        <v>9783110711356</v>
      </c>
      <c r="E3927" t="s">
        <v>73</v>
      </c>
      <c r="F3927" s="1">
        <v>44305</v>
      </c>
    </row>
    <row r="3928" spans="1:6" x14ac:dyDescent="0.25">
      <c r="A3928">
        <v>7014868</v>
      </c>
      <c r="B3928" t="s">
        <v>3979</v>
      </c>
      <c r="C3928" t="str">
        <f>""</f>
        <v/>
      </c>
      <c r="D3928" t="str">
        <f>"9783111702506"</f>
        <v>9783111702506</v>
      </c>
      <c r="E3928" t="s">
        <v>73</v>
      </c>
      <c r="F3928" s="1">
        <v>20180</v>
      </c>
    </row>
    <row r="3929" spans="1:6" x14ac:dyDescent="0.25">
      <c r="A3929">
        <v>7014869</v>
      </c>
      <c r="B3929" t="s">
        <v>3980</v>
      </c>
      <c r="C3929" t="str">
        <f>""</f>
        <v/>
      </c>
      <c r="D3929" t="str">
        <f>"9783110623758"</f>
        <v>9783110623758</v>
      </c>
      <c r="E3929" t="s">
        <v>73</v>
      </c>
      <c r="F3929" s="1">
        <v>43633</v>
      </c>
    </row>
    <row r="3930" spans="1:6" x14ac:dyDescent="0.25">
      <c r="A3930">
        <v>7014870</v>
      </c>
      <c r="B3930" t="s">
        <v>3981</v>
      </c>
      <c r="C3930" t="str">
        <f>""</f>
        <v/>
      </c>
      <c r="D3930" t="str">
        <f>"9783110720075"</f>
        <v>9783110720075</v>
      </c>
      <c r="E3930" t="s">
        <v>73</v>
      </c>
      <c r="F3930" s="1">
        <v>41948</v>
      </c>
    </row>
    <row r="3931" spans="1:6" x14ac:dyDescent="0.25">
      <c r="A3931">
        <v>7014871</v>
      </c>
      <c r="B3931" t="s">
        <v>3982</v>
      </c>
      <c r="C3931" t="str">
        <f>"9783110585414"</f>
        <v>9783110585414</v>
      </c>
      <c r="D3931" t="str">
        <f>"9783110585421"</f>
        <v>9783110585421</v>
      </c>
      <c r="E3931" t="s">
        <v>73</v>
      </c>
      <c r="F3931" s="1">
        <v>43451</v>
      </c>
    </row>
    <row r="3932" spans="1:6" x14ac:dyDescent="0.25">
      <c r="A3932">
        <v>7014872</v>
      </c>
      <c r="B3932" t="s">
        <v>3983</v>
      </c>
      <c r="C3932" t="str">
        <f>""</f>
        <v/>
      </c>
      <c r="D3932" t="str">
        <f>"9783110622638"</f>
        <v>9783110622638</v>
      </c>
      <c r="E3932" t="s">
        <v>73</v>
      </c>
      <c r="F3932" s="1">
        <v>43494</v>
      </c>
    </row>
    <row r="3933" spans="1:6" x14ac:dyDescent="0.25">
      <c r="A3933">
        <v>7014873</v>
      </c>
      <c r="B3933" t="s">
        <v>3984</v>
      </c>
      <c r="C3933" t="str">
        <f>""</f>
        <v/>
      </c>
      <c r="D3933" t="str">
        <f>"9783110717679"</f>
        <v>9783110717679</v>
      </c>
      <c r="E3933" t="s">
        <v>73</v>
      </c>
      <c r="F3933" s="1">
        <v>44181</v>
      </c>
    </row>
    <row r="3934" spans="1:6" x14ac:dyDescent="0.25">
      <c r="A3934">
        <v>7014874</v>
      </c>
      <c r="B3934" t="s">
        <v>3985</v>
      </c>
      <c r="C3934" t="str">
        <f>""</f>
        <v/>
      </c>
      <c r="D3934" t="str">
        <f>"9783110720334"</f>
        <v>9783110720334</v>
      </c>
      <c r="E3934" t="s">
        <v>73</v>
      </c>
      <c r="F3934" s="1">
        <v>42919</v>
      </c>
    </row>
    <row r="3935" spans="1:6" x14ac:dyDescent="0.25">
      <c r="A3935">
        <v>7014875</v>
      </c>
      <c r="B3935" t="s">
        <v>3986</v>
      </c>
      <c r="C3935" t="str">
        <f>""</f>
        <v/>
      </c>
      <c r="D3935" t="str">
        <f>"9783111347417"</f>
        <v>9783111347417</v>
      </c>
      <c r="E3935" t="s">
        <v>73</v>
      </c>
      <c r="F3935" s="1">
        <v>27120</v>
      </c>
    </row>
    <row r="3936" spans="1:6" x14ac:dyDescent="0.25">
      <c r="A3936">
        <v>7014876</v>
      </c>
      <c r="B3936" t="s">
        <v>3987</v>
      </c>
      <c r="C3936" t="str">
        <f>""</f>
        <v/>
      </c>
      <c r="D3936" t="str">
        <f>"9783110713305"</f>
        <v>9783110713305</v>
      </c>
      <c r="E3936" t="s">
        <v>73</v>
      </c>
      <c r="F3936" s="1">
        <v>44214</v>
      </c>
    </row>
    <row r="3937" spans="1:6" x14ac:dyDescent="0.25">
      <c r="A3937">
        <v>7014877</v>
      </c>
      <c r="B3937" t="s">
        <v>3988</v>
      </c>
      <c r="C3937" t="str">
        <f>""</f>
        <v/>
      </c>
      <c r="D3937" t="str">
        <f>"9783110713367"</f>
        <v>9783110713367</v>
      </c>
      <c r="E3937" t="s">
        <v>73</v>
      </c>
      <c r="F3937" s="1">
        <v>44368</v>
      </c>
    </row>
    <row r="3938" spans="1:6" x14ac:dyDescent="0.25">
      <c r="A3938">
        <v>7014878</v>
      </c>
      <c r="B3938" t="s">
        <v>3989</v>
      </c>
      <c r="C3938" t="str">
        <f>""</f>
        <v/>
      </c>
      <c r="D3938" t="str">
        <f>"9783110720327"</f>
        <v>9783110720327</v>
      </c>
      <c r="E3938" t="s">
        <v>73</v>
      </c>
      <c r="F3938" s="1">
        <v>42800</v>
      </c>
    </row>
    <row r="3939" spans="1:6" x14ac:dyDescent="0.25">
      <c r="A3939">
        <v>7014879</v>
      </c>
      <c r="B3939" t="s">
        <v>3990</v>
      </c>
      <c r="C3939" t="str">
        <f>""</f>
        <v/>
      </c>
      <c r="D3939" t="str">
        <f>"9783110750560"</f>
        <v>9783110750560</v>
      </c>
      <c r="E3939" t="s">
        <v>73</v>
      </c>
      <c r="F3939" s="1">
        <v>44522</v>
      </c>
    </row>
    <row r="3940" spans="1:6" x14ac:dyDescent="0.25">
      <c r="A3940">
        <v>7014880</v>
      </c>
      <c r="B3940" t="s">
        <v>3991</v>
      </c>
      <c r="C3940" t="str">
        <f>""</f>
        <v/>
      </c>
      <c r="D3940" t="str">
        <f>"9783110687040"</f>
        <v>9783110687040</v>
      </c>
      <c r="E3940" t="s">
        <v>73</v>
      </c>
      <c r="F3940" s="1">
        <v>44095</v>
      </c>
    </row>
    <row r="3941" spans="1:6" x14ac:dyDescent="0.25">
      <c r="A3941">
        <v>7014881</v>
      </c>
      <c r="B3941" t="s">
        <v>3992</v>
      </c>
      <c r="C3941" t="str">
        <f>""</f>
        <v/>
      </c>
      <c r="D3941" t="str">
        <f>"9783110702231"</f>
        <v>9783110702231</v>
      </c>
      <c r="E3941" t="s">
        <v>73</v>
      </c>
      <c r="F3941" s="1">
        <v>44214</v>
      </c>
    </row>
    <row r="3942" spans="1:6" x14ac:dyDescent="0.25">
      <c r="A3942">
        <v>7014882</v>
      </c>
      <c r="B3942" t="s">
        <v>3993</v>
      </c>
      <c r="C3942" t="str">
        <f>""</f>
        <v/>
      </c>
      <c r="D3942" t="str">
        <f>"9783110707168"</f>
        <v>9783110707168</v>
      </c>
      <c r="E3942" t="s">
        <v>73</v>
      </c>
      <c r="F3942" s="1">
        <v>44172</v>
      </c>
    </row>
    <row r="3943" spans="1:6" x14ac:dyDescent="0.25">
      <c r="A3943">
        <v>7014883</v>
      </c>
      <c r="B3943" t="s">
        <v>3994</v>
      </c>
      <c r="C3943" t="str">
        <f>"9783110472929"</f>
        <v>9783110472929</v>
      </c>
      <c r="D3943" t="str">
        <f>"9783110529173"</f>
        <v>9783110529173</v>
      </c>
      <c r="E3943" t="s">
        <v>73</v>
      </c>
      <c r="F3943" s="1">
        <v>44249</v>
      </c>
    </row>
    <row r="3944" spans="1:6" x14ac:dyDescent="0.25">
      <c r="A3944">
        <v>7014884</v>
      </c>
      <c r="B3944" t="s">
        <v>3995</v>
      </c>
      <c r="C3944" t="str">
        <f>""</f>
        <v/>
      </c>
      <c r="D3944" t="str">
        <f>"9783110718270"</f>
        <v>9783110718270</v>
      </c>
      <c r="E3944" t="s">
        <v>73</v>
      </c>
      <c r="F3944" s="1">
        <v>44396</v>
      </c>
    </row>
    <row r="3945" spans="1:6" x14ac:dyDescent="0.25">
      <c r="A3945">
        <v>7014885</v>
      </c>
      <c r="B3945" t="s">
        <v>3996</v>
      </c>
      <c r="C3945" t="str">
        <f>""</f>
        <v/>
      </c>
      <c r="D3945" t="str">
        <f>"9783111661483"</f>
        <v>9783111661483</v>
      </c>
      <c r="E3945" t="s">
        <v>73</v>
      </c>
      <c r="F3945" s="1">
        <v>18354</v>
      </c>
    </row>
    <row r="3946" spans="1:6" x14ac:dyDescent="0.25">
      <c r="A3946">
        <v>7014886</v>
      </c>
      <c r="B3946" t="s">
        <v>3997</v>
      </c>
      <c r="C3946" t="str">
        <f>""</f>
        <v/>
      </c>
      <c r="D3946" t="str">
        <f>"9783110708479"</f>
        <v>9783110708479</v>
      </c>
      <c r="E3946" t="s">
        <v>73</v>
      </c>
      <c r="F3946" s="1">
        <v>44116</v>
      </c>
    </row>
    <row r="3947" spans="1:6" x14ac:dyDescent="0.25">
      <c r="A3947">
        <v>7014887</v>
      </c>
      <c r="B3947" t="s">
        <v>3998</v>
      </c>
      <c r="C3947" t="str">
        <f>""</f>
        <v/>
      </c>
      <c r="D3947" t="str">
        <f>"9783110622690"</f>
        <v>9783110622690</v>
      </c>
      <c r="E3947" t="s">
        <v>73</v>
      </c>
      <c r="F3947" s="1">
        <v>43494</v>
      </c>
    </row>
    <row r="3948" spans="1:6" x14ac:dyDescent="0.25">
      <c r="A3948">
        <v>7014888</v>
      </c>
      <c r="B3948" t="s">
        <v>3999</v>
      </c>
      <c r="C3948" t="str">
        <f>""</f>
        <v/>
      </c>
      <c r="D3948" t="str">
        <f>"9783110716559"</f>
        <v>9783110716559</v>
      </c>
      <c r="E3948" t="s">
        <v>73</v>
      </c>
      <c r="F3948" s="1">
        <v>44536</v>
      </c>
    </row>
    <row r="3949" spans="1:6" x14ac:dyDescent="0.25">
      <c r="A3949">
        <v>7014889</v>
      </c>
      <c r="B3949" t="s">
        <v>4000</v>
      </c>
      <c r="C3949" t="str">
        <f>""</f>
        <v/>
      </c>
      <c r="D3949" t="str">
        <f>"9783110722093"</f>
        <v>9783110722093</v>
      </c>
      <c r="E3949" t="s">
        <v>73</v>
      </c>
      <c r="F3949" s="1">
        <v>44473</v>
      </c>
    </row>
    <row r="3950" spans="1:6" x14ac:dyDescent="0.25">
      <c r="A3950">
        <v>7014890</v>
      </c>
      <c r="B3950" t="s">
        <v>4001</v>
      </c>
      <c r="C3950" t="str">
        <f>""</f>
        <v/>
      </c>
      <c r="D3950" t="str">
        <f>"9783110671964"</f>
        <v>9783110671964</v>
      </c>
      <c r="E3950" t="s">
        <v>73</v>
      </c>
      <c r="F3950" s="1">
        <v>44326</v>
      </c>
    </row>
    <row r="3951" spans="1:6" x14ac:dyDescent="0.25">
      <c r="A3951">
        <v>7014891</v>
      </c>
      <c r="B3951" t="s">
        <v>4002</v>
      </c>
      <c r="C3951" t="str">
        <f>""</f>
        <v/>
      </c>
      <c r="D3951" t="str">
        <f>"9783486754346"</f>
        <v>9783486754346</v>
      </c>
      <c r="E3951" t="s">
        <v>73</v>
      </c>
      <c r="F3951" s="1">
        <v>9863</v>
      </c>
    </row>
    <row r="3952" spans="1:6" x14ac:dyDescent="0.25">
      <c r="A3952">
        <v>7014892</v>
      </c>
      <c r="B3952" t="s">
        <v>4003</v>
      </c>
      <c r="C3952" t="str">
        <f>""</f>
        <v/>
      </c>
      <c r="D3952" t="str">
        <f>"9783110748833"</f>
        <v>9783110748833</v>
      </c>
      <c r="E3952" t="s">
        <v>73</v>
      </c>
      <c r="F3952" s="1">
        <v>44431</v>
      </c>
    </row>
    <row r="3953" spans="1:6" x14ac:dyDescent="0.25">
      <c r="A3953">
        <v>7014893</v>
      </c>
      <c r="B3953" t="s">
        <v>4004</v>
      </c>
      <c r="C3953" t="str">
        <f>""</f>
        <v/>
      </c>
      <c r="D3953" t="str">
        <f>"9783110812848"</f>
        <v>9783110812848</v>
      </c>
      <c r="E3953" t="s">
        <v>53</v>
      </c>
      <c r="F3953" s="1">
        <v>43497</v>
      </c>
    </row>
    <row r="3954" spans="1:6" x14ac:dyDescent="0.25">
      <c r="A3954">
        <v>7014894</v>
      </c>
      <c r="B3954" t="s">
        <v>4005</v>
      </c>
      <c r="C3954" t="str">
        <f>""</f>
        <v/>
      </c>
      <c r="D3954" t="str">
        <f>"9783110703450"</f>
        <v>9783110703450</v>
      </c>
      <c r="E3954" t="s">
        <v>73</v>
      </c>
      <c r="F3954" s="1">
        <v>44235</v>
      </c>
    </row>
    <row r="3955" spans="1:6" x14ac:dyDescent="0.25">
      <c r="A3955">
        <v>7014895</v>
      </c>
      <c r="B3955" t="s">
        <v>4006</v>
      </c>
      <c r="C3955" t="str">
        <f>""</f>
        <v/>
      </c>
      <c r="D3955" t="str">
        <f>"9783110720426"</f>
        <v>9783110720426</v>
      </c>
      <c r="E3955" t="s">
        <v>73</v>
      </c>
      <c r="F3955" s="1">
        <v>42899</v>
      </c>
    </row>
    <row r="3956" spans="1:6" x14ac:dyDescent="0.25">
      <c r="A3956">
        <v>7014896</v>
      </c>
      <c r="B3956" t="s">
        <v>4007</v>
      </c>
      <c r="C3956" t="str">
        <f>""</f>
        <v/>
      </c>
      <c r="D3956" t="str">
        <f>"9783110622669"</f>
        <v>9783110622669</v>
      </c>
      <c r="E3956" t="s">
        <v>73</v>
      </c>
      <c r="F3956" s="1">
        <v>43494</v>
      </c>
    </row>
    <row r="3957" spans="1:6" x14ac:dyDescent="0.25">
      <c r="A3957">
        <v>7014897</v>
      </c>
      <c r="B3957" t="s">
        <v>4008</v>
      </c>
      <c r="C3957" t="str">
        <f>"9783110610574"</f>
        <v>9783110610574</v>
      </c>
      <c r="D3957" t="str">
        <f>"9783110610604"</f>
        <v>9783110610604</v>
      </c>
      <c r="E3957" t="s">
        <v>73</v>
      </c>
      <c r="F3957" s="1">
        <v>43250</v>
      </c>
    </row>
    <row r="3958" spans="1:6" x14ac:dyDescent="0.25">
      <c r="A3958">
        <v>7014898</v>
      </c>
      <c r="B3958" t="s">
        <v>4009</v>
      </c>
      <c r="C3958" t="str">
        <f>""</f>
        <v/>
      </c>
      <c r="D3958" t="str">
        <f>"9783110591415"</f>
        <v>9783110591415</v>
      </c>
      <c r="E3958" t="s">
        <v>73</v>
      </c>
      <c r="F3958" s="1">
        <v>43354</v>
      </c>
    </row>
    <row r="3959" spans="1:6" x14ac:dyDescent="0.25">
      <c r="A3959">
        <v>7014899</v>
      </c>
      <c r="B3959" t="s">
        <v>4010</v>
      </c>
      <c r="C3959" t="str">
        <f>""</f>
        <v/>
      </c>
      <c r="D3959" t="str">
        <f>"9783110712902"</f>
        <v>9783110712902</v>
      </c>
      <c r="E3959" t="s">
        <v>73</v>
      </c>
      <c r="F3959" s="1">
        <v>44181</v>
      </c>
    </row>
    <row r="3960" spans="1:6" x14ac:dyDescent="0.25">
      <c r="A3960">
        <v>7014900</v>
      </c>
      <c r="B3960" t="s">
        <v>4011</v>
      </c>
      <c r="C3960" t="str">
        <f>""</f>
        <v/>
      </c>
      <c r="D3960" t="str">
        <f>"9783110708530"</f>
        <v>9783110708530</v>
      </c>
      <c r="E3960" t="s">
        <v>53</v>
      </c>
      <c r="F3960" s="1">
        <v>44382</v>
      </c>
    </row>
    <row r="3961" spans="1:6" x14ac:dyDescent="0.25">
      <c r="A3961">
        <v>7014901</v>
      </c>
      <c r="B3961" t="s">
        <v>4012</v>
      </c>
      <c r="C3961" t="str">
        <f>""</f>
        <v/>
      </c>
      <c r="D3961" t="str">
        <f>"9783111326887"</f>
        <v>9783111326887</v>
      </c>
      <c r="E3961" t="s">
        <v>73</v>
      </c>
      <c r="F3961" s="1">
        <v>4475</v>
      </c>
    </row>
    <row r="3962" spans="1:6" x14ac:dyDescent="0.25">
      <c r="A3962">
        <v>7014902</v>
      </c>
      <c r="B3962" t="s">
        <v>4013</v>
      </c>
      <c r="C3962" t="str">
        <f>""</f>
        <v/>
      </c>
      <c r="D3962" t="str">
        <f>"9783110720129"</f>
        <v>9783110720129</v>
      </c>
      <c r="E3962" t="s">
        <v>73</v>
      </c>
      <c r="F3962" s="1">
        <v>42174</v>
      </c>
    </row>
    <row r="3963" spans="1:6" x14ac:dyDescent="0.25">
      <c r="A3963">
        <v>7014903</v>
      </c>
      <c r="B3963" t="s">
        <v>4014</v>
      </c>
      <c r="C3963" t="str">
        <f>""</f>
        <v/>
      </c>
      <c r="D3963" t="str">
        <f>"9783110667516"</f>
        <v>9783110667516</v>
      </c>
      <c r="E3963" t="s">
        <v>73</v>
      </c>
      <c r="F3963" s="1">
        <v>44032</v>
      </c>
    </row>
    <row r="3964" spans="1:6" x14ac:dyDescent="0.25">
      <c r="A3964">
        <v>7014904</v>
      </c>
      <c r="B3964" t="s">
        <v>4015</v>
      </c>
      <c r="C3964" t="str">
        <f>""</f>
        <v/>
      </c>
      <c r="D3964" t="str">
        <f>"9783111644523"</f>
        <v>9783111644523</v>
      </c>
      <c r="E3964" t="s">
        <v>73</v>
      </c>
      <c r="F3964" t="s">
        <v>4016</v>
      </c>
    </row>
    <row r="3965" spans="1:6" x14ac:dyDescent="0.25">
      <c r="A3965">
        <v>7014905</v>
      </c>
      <c r="B3965" t="s">
        <v>4017</v>
      </c>
      <c r="C3965" t="str">
        <f>""</f>
        <v/>
      </c>
      <c r="D3965" t="str">
        <f>"9783111704623"</f>
        <v>9783111704623</v>
      </c>
      <c r="E3965" t="s">
        <v>73</v>
      </c>
      <c r="F3965" s="1">
        <v>19450</v>
      </c>
    </row>
    <row r="3966" spans="1:6" x14ac:dyDescent="0.25">
      <c r="A3966">
        <v>7014906</v>
      </c>
      <c r="B3966" t="s">
        <v>4018</v>
      </c>
      <c r="C3966" t="str">
        <f>"9783111193830"</f>
        <v>9783111193830</v>
      </c>
      <c r="D3966" t="str">
        <f>"9783111565163"</f>
        <v>9783111565163</v>
      </c>
      <c r="E3966" t="s">
        <v>73</v>
      </c>
      <c r="F3966" t="s">
        <v>4019</v>
      </c>
    </row>
    <row r="3967" spans="1:6" x14ac:dyDescent="0.25">
      <c r="A3967">
        <v>7014907</v>
      </c>
      <c r="B3967" t="s">
        <v>4020</v>
      </c>
      <c r="C3967" t="str">
        <f>""</f>
        <v/>
      </c>
      <c r="D3967" t="str">
        <f>"9783110642056"</f>
        <v>9783110642056</v>
      </c>
      <c r="E3967" t="s">
        <v>73</v>
      </c>
      <c r="F3967" s="1">
        <v>44214</v>
      </c>
    </row>
    <row r="3968" spans="1:6" x14ac:dyDescent="0.25">
      <c r="A3968">
        <v>7014908</v>
      </c>
      <c r="B3968" t="s">
        <v>4021</v>
      </c>
      <c r="C3968" t="str">
        <f>""</f>
        <v/>
      </c>
      <c r="D3968" t="str">
        <f>"9783110639544"</f>
        <v>9783110639544</v>
      </c>
      <c r="E3968" t="s">
        <v>73</v>
      </c>
      <c r="F3968" s="1">
        <v>44081</v>
      </c>
    </row>
    <row r="3969" spans="1:6" x14ac:dyDescent="0.25">
      <c r="A3969">
        <v>7014909</v>
      </c>
      <c r="B3969" t="s">
        <v>4022</v>
      </c>
      <c r="C3969" t="str">
        <f>""</f>
        <v/>
      </c>
      <c r="D3969" t="str">
        <f>"9783110624625"</f>
        <v>9783110624625</v>
      </c>
      <c r="E3969" t="s">
        <v>73</v>
      </c>
      <c r="F3969" s="1">
        <v>44459</v>
      </c>
    </row>
    <row r="3970" spans="1:6" x14ac:dyDescent="0.25">
      <c r="A3970">
        <v>7014910</v>
      </c>
      <c r="B3970" t="s">
        <v>4023</v>
      </c>
      <c r="C3970" t="str">
        <f>""</f>
        <v/>
      </c>
      <c r="D3970" t="str">
        <f>"9783111422367"</f>
        <v>9783111422367</v>
      </c>
      <c r="E3970" t="s">
        <v>73</v>
      </c>
      <c r="F3970" s="1">
        <v>822</v>
      </c>
    </row>
    <row r="3971" spans="1:6" x14ac:dyDescent="0.25">
      <c r="A3971">
        <v>7014911</v>
      </c>
      <c r="B3971" t="s">
        <v>4024</v>
      </c>
      <c r="C3971" t="str">
        <f>"9783110575613"</f>
        <v>9783110575613</v>
      </c>
      <c r="D3971" t="str">
        <f>"9783110576191"</f>
        <v>9783110576191</v>
      </c>
      <c r="E3971" t="s">
        <v>73</v>
      </c>
      <c r="F3971" s="1">
        <v>43409</v>
      </c>
    </row>
    <row r="3972" spans="1:6" x14ac:dyDescent="0.25">
      <c r="A3972">
        <v>7014912</v>
      </c>
      <c r="B3972" t="s">
        <v>4025</v>
      </c>
      <c r="C3972" t="str">
        <f>""</f>
        <v/>
      </c>
      <c r="D3972" t="str">
        <f>"9783110731569"</f>
        <v>9783110731569</v>
      </c>
      <c r="E3972" t="s">
        <v>73</v>
      </c>
      <c r="F3972" s="1">
        <v>44473</v>
      </c>
    </row>
    <row r="3973" spans="1:6" x14ac:dyDescent="0.25">
      <c r="A3973">
        <v>7014913</v>
      </c>
      <c r="B3973" t="s">
        <v>4026</v>
      </c>
      <c r="C3973" t="str">
        <f>""</f>
        <v/>
      </c>
      <c r="D3973" t="str">
        <f>"9783110674255"</f>
        <v>9783110674255</v>
      </c>
      <c r="E3973" t="s">
        <v>73</v>
      </c>
      <c r="F3973" s="1">
        <v>43956</v>
      </c>
    </row>
    <row r="3974" spans="1:6" x14ac:dyDescent="0.25">
      <c r="A3974">
        <v>7014914</v>
      </c>
      <c r="B3974" t="s">
        <v>4027</v>
      </c>
      <c r="C3974" t="str">
        <f>""</f>
        <v/>
      </c>
      <c r="D3974" t="str">
        <f>"9783110694772"</f>
        <v>9783110694772</v>
      </c>
      <c r="E3974" t="s">
        <v>73</v>
      </c>
      <c r="F3974" s="1">
        <v>44158</v>
      </c>
    </row>
    <row r="3975" spans="1:6" x14ac:dyDescent="0.25">
      <c r="A3975">
        <v>7014915</v>
      </c>
      <c r="B3975" t="s">
        <v>4028</v>
      </c>
      <c r="C3975" t="str">
        <f>""</f>
        <v/>
      </c>
      <c r="D3975" t="str">
        <f>"9783111493022"</f>
        <v>9783111493022</v>
      </c>
      <c r="E3975" t="s">
        <v>73</v>
      </c>
      <c r="F3975" s="1">
        <v>18719</v>
      </c>
    </row>
    <row r="3976" spans="1:6" x14ac:dyDescent="0.25">
      <c r="A3976">
        <v>7014916</v>
      </c>
      <c r="B3976" t="s">
        <v>4029</v>
      </c>
      <c r="C3976" t="str">
        <f>""</f>
        <v/>
      </c>
      <c r="D3976" t="str">
        <f>"9783110733495"</f>
        <v>9783110733495</v>
      </c>
      <c r="E3976" t="s">
        <v>73</v>
      </c>
      <c r="F3976" s="1">
        <v>44431</v>
      </c>
    </row>
    <row r="3977" spans="1:6" x14ac:dyDescent="0.25">
      <c r="A3977">
        <v>7014917</v>
      </c>
      <c r="B3977" t="s">
        <v>4030</v>
      </c>
      <c r="C3977" t="str">
        <f>""</f>
        <v/>
      </c>
      <c r="D3977" t="str">
        <f>"9783110755657"</f>
        <v>9783110755657</v>
      </c>
      <c r="E3977" t="s">
        <v>53</v>
      </c>
      <c r="F3977" s="1">
        <v>44508</v>
      </c>
    </row>
    <row r="3978" spans="1:6" x14ac:dyDescent="0.25">
      <c r="A3978">
        <v>7014918</v>
      </c>
      <c r="B3978" t="s">
        <v>4031</v>
      </c>
      <c r="C3978" t="str">
        <f>""</f>
        <v/>
      </c>
      <c r="D3978" t="str">
        <f>"9783110702705"</f>
        <v>9783110702705</v>
      </c>
      <c r="E3978" t="s">
        <v>73</v>
      </c>
      <c r="F3978" s="1">
        <v>44130</v>
      </c>
    </row>
    <row r="3979" spans="1:6" x14ac:dyDescent="0.25">
      <c r="A3979">
        <v>7014919</v>
      </c>
      <c r="B3979" t="s">
        <v>4032</v>
      </c>
      <c r="C3979" t="str">
        <f>""</f>
        <v/>
      </c>
      <c r="D3979" t="str">
        <f>"9783110630503"</f>
        <v>9783110630503</v>
      </c>
      <c r="E3979" t="s">
        <v>73</v>
      </c>
      <c r="F3979" s="1">
        <v>43990</v>
      </c>
    </row>
    <row r="3980" spans="1:6" x14ac:dyDescent="0.25">
      <c r="A3980">
        <v>7014920</v>
      </c>
      <c r="B3980" t="s">
        <v>4033</v>
      </c>
      <c r="C3980" t="str">
        <f>""</f>
        <v/>
      </c>
      <c r="D3980" t="str">
        <f>"9783110720099"</f>
        <v>9783110720099</v>
      </c>
      <c r="E3980" t="s">
        <v>73</v>
      </c>
      <c r="F3980" s="1">
        <v>41904</v>
      </c>
    </row>
    <row r="3981" spans="1:6" x14ac:dyDescent="0.25">
      <c r="A3981">
        <v>7014921</v>
      </c>
      <c r="B3981" t="s">
        <v>4034</v>
      </c>
      <c r="C3981" t="str">
        <f>"9783110602296"</f>
        <v>9783110602296</v>
      </c>
      <c r="D3981" t="str">
        <f>"9783110602289"</f>
        <v>9783110602289</v>
      </c>
      <c r="E3981" t="s">
        <v>73</v>
      </c>
      <c r="F3981" s="1">
        <v>43381</v>
      </c>
    </row>
    <row r="3982" spans="1:6" x14ac:dyDescent="0.25">
      <c r="A3982">
        <v>7014922</v>
      </c>
      <c r="B3982" t="s">
        <v>4035</v>
      </c>
      <c r="C3982" t="str">
        <f>""</f>
        <v/>
      </c>
      <c r="D3982" t="str">
        <f>"9783110679977"</f>
        <v>9783110679977</v>
      </c>
      <c r="E3982" t="s">
        <v>73</v>
      </c>
      <c r="F3982" s="1">
        <v>44038</v>
      </c>
    </row>
    <row r="3983" spans="1:6" x14ac:dyDescent="0.25">
      <c r="A3983">
        <v>7014923</v>
      </c>
      <c r="B3983" t="s">
        <v>4036</v>
      </c>
      <c r="C3983" t="str">
        <f>""</f>
        <v/>
      </c>
      <c r="D3983" t="str">
        <f>"9783110725780"</f>
        <v>9783110725780</v>
      </c>
      <c r="E3983" t="s">
        <v>73</v>
      </c>
      <c r="F3983" s="1">
        <v>44263</v>
      </c>
    </row>
    <row r="3984" spans="1:6" x14ac:dyDescent="0.25">
      <c r="A3984">
        <v>7014924</v>
      </c>
      <c r="B3984" t="s">
        <v>4037</v>
      </c>
      <c r="C3984" t="str">
        <f>""</f>
        <v/>
      </c>
      <c r="D3984" t="str">
        <f>"9783110622430"</f>
        <v>9783110622430</v>
      </c>
      <c r="E3984" t="s">
        <v>73</v>
      </c>
      <c r="F3984" s="1">
        <v>43494</v>
      </c>
    </row>
    <row r="3985" spans="1:6" x14ac:dyDescent="0.25">
      <c r="A3985">
        <v>7014925</v>
      </c>
      <c r="B3985" t="s">
        <v>4038</v>
      </c>
      <c r="C3985" t="str">
        <f>""</f>
        <v/>
      </c>
      <c r="D3985" t="str">
        <f>"9783111719962"</f>
        <v>9783111719962</v>
      </c>
      <c r="E3985" t="s">
        <v>73</v>
      </c>
      <c r="F3985" t="s">
        <v>4039</v>
      </c>
    </row>
    <row r="3986" spans="1:6" x14ac:dyDescent="0.25">
      <c r="A3986">
        <v>7014926</v>
      </c>
      <c r="B3986" t="s">
        <v>4040</v>
      </c>
      <c r="C3986" t="str">
        <f>""</f>
        <v/>
      </c>
      <c r="D3986" t="str">
        <f>"9783110749984"</f>
        <v>9783110749984</v>
      </c>
      <c r="E3986" t="s">
        <v>73</v>
      </c>
      <c r="F3986" s="1">
        <v>44508</v>
      </c>
    </row>
    <row r="3987" spans="1:6" x14ac:dyDescent="0.25">
      <c r="A3987">
        <v>7014927</v>
      </c>
      <c r="B3987" t="s">
        <v>4041</v>
      </c>
      <c r="C3987" t="str">
        <f>"9783486565652"</f>
        <v>9783486565652</v>
      </c>
      <c r="D3987" t="str">
        <f>"9783486594478"</f>
        <v>9783486594478</v>
      </c>
      <c r="E3987" t="s">
        <v>73</v>
      </c>
      <c r="F3987" s="1">
        <v>37181</v>
      </c>
    </row>
    <row r="3988" spans="1:6" x14ac:dyDescent="0.25">
      <c r="A3988">
        <v>7014928</v>
      </c>
      <c r="B3988" t="s">
        <v>1083</v>
      </c>
      <c r="C3988" t="str">
        <f>"9783110605907"</f>
        <v>9783110605907</v>
      </c>
      <c r="D3988" t="str">
        <f>"9783110605914"</f>
        <v>9783110605914</v>
      </c>
      <c r="E3988" t="s">
        <v>73</v>
      </c>
      <c r="F3988" s="1">
        <v>43633</v>
      </c>
    </row>
    <row r="3989" spans="1:6" x14ac:dyDescent="0.25">
      <c r="A3989">
        <v>7014929</v>
      </c>
      <c r="B3989" t="s">
        <v>4042</v>
      </c>
      <c r="C3989" t="str">
        <f>""</f>
        <v/>
      </c>
      <c r="D3989" t="str">
        <f>"9783110683066"</f>
        <v>9783110683066</v>
      </c>
      <c r="E3989" t="s">
        <v>73</v>
      </c>
      <c r="F3989" s="1">
        <v>44172</v>
      </c>
    </row>
    <row r="3990" spans="1:6" x14ac:dyDescent="0.25">
      <c r="A3990">
        <v>7014930</v>
      </c>
      <c r="B3990" t="s">
        <v>4043</v>
      </c>
      <c r="C3990" t="str">
        <f>""</f>
        <v/>
      </c>
      <c r="D3990" t="str">
        <f>"9783111342498"</f>
        <v>9783111342498</v>
      </c>
      <c r="E3990" t="s">
        <v>53</v>
      </c>
      <c r="F3990" s="1">
        <v>26024</v>
      </c>
    </row>
    <row r="3991" spans="1:6" x14ac:dyDescent="0.25">
      <c r="A3991">
        <v>7014931</v>
      </c>
      <c r="B3991" t="s">
        <v>4044</v>
      </c>
      <c r="C3991" t="str">
        <f>""</f>
        <v/>
      </c>
      <c r="D3991" t="str">
        <f>"9783110743005"</f>
        <v>9783110743005</v>
      </c>
      <c r="E3991" t="s">
        <v>73</v>
      </c>
      <c r="F3991" s="1">
        <v>44446</v>
      </c>
    </row>
    <row r="3992" spans="1:6" x14ac:dyDescent="0.25">
      <c r="A3992">
        <v>7014932</v>
      </c>
      <c r="B3992" t="s">
        <v>4045</v>
      </c>
      <c r="C3992" t="str">
        <f>""</f>
        <v/>
      </c>
      <c r="D3992" t="str">
        <f>"9783111503417"</f>
        <v>9783111503417</v>
      </c>
      <c r="E3992" t="s">
        <v>73</v>
      </c>
      <c r="F3992" s="1">
        <v>18719</v>
      </c>
    </row>
    <row r="3993" spans="1:6" x14ac:dyDescent="0.25">
      <c r="A3993">
        <v>7014933</v>
      </c>
      <c r="B3993" t="s">
        <v>4046</v>
      </c>
      <c r="C3993" t="str">
        <f>""</f>
        <v/>
      </c>
      <c r="D3993" t="str">
        <f>"9783110751451"</f>
        <v>9783110751451</v>
      </c>
      <c r="E3993" t="s">
        <v>73</v>
      </c>
      <c r="F3993" s="1">
        <v>44536</v>
      </c>
    </row>
    <row r="3994" spans="1:6" x14ac:dyDescent="0.25">
      <c r="A3994">
        <v>7014934</v>
      </c>
      <c r="B3994" t="s">
        <v>4047</v>
      </c>
      <c r="C3994" t="str">
        <f>"9783484310827"</f>
        <v>9783484310827</v>
      </c>
      <c r="D3994" t="str">
        <f>"9783110920659"</f>
        <v>9783110920659</v>
      </c>
      <c r="E3994" t="s">
        <v>73</v>
      </c>
      <c r="F3994" s="1">
        <v>31778</v>
      </c>
    </row>
    <row r="3995" spans="1:6" x14ac:dyDescent="0.25">
      <c r="A3995">
        <v>7014935</v>
      </c>
      <c r="B3995" t="s">
        <v>4048</v>
      </c>
      <c r="C3995" t="str">
        <f>""</f>
        <v/>
      </c>
      <c r="D3995" t="str">
        <f>"9783110622645"</f>
        <v>9783110622645</v>
      </c>
      <c r="E3995" t="s">
        <v>73</v>
      </c>
      <c r="F3995" s="1">
        <v>43494</v>
      </c>
    </row>
    <row r="3996" spans="1:6" x14ac:dyDescent="0.25">
      <c r="A3996">
        <v>7014936</v>
      </c>
      <c r="B3996" t="s">
        <v>4049</v>
      </c>
      <c r="C3996" t="str">
        <f>""</f>
        <v/>
      </c>
      <c r="D3996" t="str">
        <f>"9783110718836"</f>
        <v>9783110718836</v>
      </c>
      <c r="E3996" t="s">
        <v>73</v>
      </c>
      <c r="F3996" s="1">
        <v>39784</v>
      </c>
    </row>
    <row r="3997" spans="1:6" x14ac:dyDescent="0.25">
      <c r="A3997">
        <v>7014937</v>
      </c>
      <c r="B3997" t="s">
        <v>4050</v>
      </c>
      <c r="C3997" t="str">
        <f>""</f>
        <v/>
      </c>
      <c r="D3997" t="str">
        <f>"9783110715293"</f>
        <v>9783110715293</v>
      </c>
      <c r="E3997" t="s">
        <v>73</v>
      </c>
      <c r="F3997" s="1">
        <v>44172</v>
      </c>
    </row>
    <row r="3998" spans="1:6" x14ac:dyDescent="0.25">
      <c r="A3998">
        <v>7014938</v>
      </c>
      <c r="B3998" t="s">
        <v>4051</v>
      </c>
      <c r="C3998" t="str">
        <f>""</f>
        <v/>
      </c>
      <c r="D3998" t="str">
        <f>"9783110681703"</f>
        <v>9783110681703</v>
      </c>
      <c r="E3998" t="s">
        <v>73</v>
      </c>
      <c r="F3998" s="1">
        <v>44130</v>
      </c>
    </row>
    <row r="3999" spans="1:6" x14ac:dyDescent="0.25">
      <c r="A3999">
        <v>7014939</v>
      </c>
      <c r="B3999" t="s">
        <v>4052</v>
      </c>
      <c r="C3999" t="str">
        <f>""</f>
        <v/>
      </c>
      <c r="D3999" t="str">
        <f>"9783868599800"</f>
        <v>9783868599800</v>
      </c>
      <c r="E3999" t="s">
        <v>4053</v>
      </c>
      <c r="F3999" s="1">
        <v>44473</v>
      </c>
    </row>
    <row r="4000" spans="1:6" x14ac:dyDescent="0.25">
      <c r="A4000">
        <v>7014940</v>
      </c>
      <c r="B4000" t="s">
        <v>4054</v>
      </c>
      <c r="C4000" t="str">
        <f>""</f>
        <v/>
      </c>
      <c r="D4000" t="str">
        <f>"9783110679663"</f>
        <v>9783110679663</v>
      </c>
      <c r="E4000" t="s">
        <v>73</v>
      </c>
      <c r="F4000" s="1">
        <v>44368</v>
      </c>
    </row>
    <row r="4001" spans="1:6" x14ac:dyDescent="0.25">
      <c r="A4001">
        <v>7014941</v>
      </c>
      <c r="B4001" t="s">
        <v>4055</v>
      </c>
      <c r="C4001" t="str">
        <f>""</f>
        <v/>
      </c>
      <c r="D4001" t="str">
        <f>"9781501511561"</f>
        <v>9781501511561</v>
      </c>
      <c r="E4001" t="s">
        <v>53</v>
      </c>
      <c r="F4001" s="1">
        <v>44410</v>
      </c>
    </row>
    <row r="4002" spans="1:6" x14ac:dyDescent="0.25">
      <c r="A4002">
        <v>7014942</v>
      </c>
      <c r="B4002" t="s">
        <v>4056</v>
      </c>
      <c r="C4002" t="str">
        <f>"9783111066103"</f>
        <v>9783111066103</v>
      </c>
      <c r="D4002" t="str">
        <f>"9783111431567"</f>
        <v>9783111431567</v>
      </c>
      <c r="E4002" t="s">
        <v>73</v>
      </c>
      <c r="F4002" t="s">
        <v>4057</v>
      </c>
    </row>
    <row r="4003" spans="1:6" x14ac:dyDescent="0.25">
      <c r="A4003">
        <v>7014943</v>
      </c>
      <c r="B4003" t="s">
        <v>4058</v>
      </c>
      <c r="C4003" t="str">
        <f>""</f>
        <v/>
      </c>
      <c r="D4003" t="str">
        <f>"9783110628548"</f>
        <v>9783110628548</v>
      </c>
      <c r="E4003" t="s">
        <v>73</v>
      </c>
      <c r="F4003" s="1">
        <v>43605</v>
      </c>
    </row>
    <row r="4004" spans="1:6" x14ac:dyDescent="0.25">
      <c r="A4004">
        <v>7014944</v>
      </c>
      <c r="B4004" t="s">
        <v>4059</v>
      </c>
      <c r="C4004" t="str">
        <f>""</f>
        <v/>
      </c>
      <c r="D4004" t="str">
        <f>"9783111574141"</f>
        <v>9783111574141</v>
      </c>
      <c r="E4004" t="s">
        <v>73</v>
      </c>
      <c r="F4004" s="1">
        <v>5936</v>
      </c>
    </row>
    <row r="4005" spans="1:6" x14ac:dyDescent="0.25">
      <c r="A4005">
        <v>7014945</v>
      </c>
      <c r="B4005" t="s">
        <v>4060</v>
      </c>
      <c r="C4005" t="str">
        <f>"9783110601503"</f>
        <v>9783110601503</v>
      </c>
      <c r="D4005" t="str">
        <f>"9783110601558"</f>
        <v>9783110601558</v>
      </c>
      <c r="E4005" t="s">
        <v>73</v>
      </c>
      <c r="F4005" s="1">
        <v>43453</v>
      </c>
    </row>
    <row r="4006" spans="1:6" x14ac:dyDescent="0.25">
      <c r="A4006">
        <v>7014946</v>
      </c>
      <c r="B4006" t="s">
        <v>4061</v>
      </c>
      <c r="C4006" t="str">
        <f>""</f>
        <v/>
      </c>
      <c r="D4006" t="str">
        <f>"9783111496382"</f>
        <v>9783111496382</v>
      </c>
      <c r="E4006" t="s">
        <v>73</v>
      </c>
      <c r="F4006" s="1">
        <v>5205</v>
      </c>
    </row>
    <row r="4007" spans="1:6" x14ac:dyDescent="0.25">
      <c r="A4007">
        <v>7014947</v>
      </c>
      <c r="B4007" t="s">
        <v>4062</v>
      </c>
      <c r="C4007" t="str">
        <f>""</f>
        <v/>
      </c>
      <c r="D4007" t="str">
        <f>"9783111716343"</f>
        <v>9783111716343</v>
      </c>
      <c r="E4007" t="s">
        <v>73</v>
      </c>
      <c r="F4007" s="1">
        <v>92</v>
      </c>
    </row>
    <row r="4008" spans="1:6" x14ac:dyDescent="0.25">
      <c r="A4008">
        <v>7014948</v>
      </c>
      <c r="B4008" t="s">
        <v>4063</v>
      </c>
      <c r="C4008" t="str">
        <f>""</f>
        <v/>
      </c>
      <c r="D4008" t="str">
        <f>"9783110661941"</f>
        <v>9783110661941</v>
      </c>
      <c r="E4008" t="s">
        <v>73</v>
      </c>
      <c r="F4008" s="1">
        <v>44355</v>
      </c>
    </row>
    <row r="4009" spans="1:6" x14ac:dyDescent="0.25">
      <c r="A4009">
        <v>7014949</v>
      </c>
      <c r="B4009" t="s">
        <v>4064</v>
      </c>
      <c r="C4009" t="str">
        <f>""</f>
        <v/>
      </c>
      <c r="D4009" t="str">
        <f>"9783110880038"</f>
        <v>9783110880038</v>
      </c>
      <c r="E4009" t="s">
        <v>53</v>
      </c>
      <c r="F4009" s="1">
        <v>30468</v>
      </c>
    </row>
    <row r="4010" spans="1:6" x14ac:dyDescent="0.25">
      <c r="A4010">
        <v>7014950</v>
      </c>
      <c r="B4010" t="s">
        <v>4065</v>
      </c>
      <c r="C4010" t="str">
        <f>""</f>
        <v/>
      </c>
      <c r="D4010" t="str">
        <f>"9783110757279"</f>
        <v>9783110757279</v>
      </c>
      <c r="E4010" t="s">
        <v>73</v>
      </c>
      <c r="F4010" s="1">
        <v>44522</v>
      </c>
    </row>
    <row r="4011" spans="1:6" x14ac:dyDescent="0.25">
      <c r="A4011">
        <v>7014951</v>
      </c>
      <c r="B4011" t="s">
        <v>4066</v>
      </c>
      <c r="C4011" t="str">
        <f>""</f>
        <v/>
      </c>
      <c r="D4011" t="str">
        <f>"9783110722055"</f>
        <v>9783110722055</v>
      </c>
      <c r="E4011" t="s">
        <v>73</v>
      </c>
      <c r="F4011" s="1">
        <v>44410</v>
      </c>
    </row>
    <row r="4012" spans="1:6" x14ac:dyDescent="0.25">
      <c r="A4012">
        <v>7014952</v>
      </c>
      <c r="B4012" t="s">
        <v>4067</v>
      </c>
      <c r="C4012" t="str">
        <f>""</f>
        <v/>
      </c>
      <c r="D4012" t="str">
        <f>"9783486774801"</f>
        <v>9783486774801</v>
      </c>
      <c r="E4012" t="s">
        <v>73</v>
      </c>
      <c r="F4012" s="1">
        <v>14977</v>
      </c>
    </row>
    <row r="4013" spans="1:6" x14ac:dyDescent="0.25">
      <c r="A4013">
        <v>7014953</v>
      </c>
      <c r="B4013" t="s">
        <v>4068</v>
      </c>
      <c r="C4013" t="str">
        <f>""</f>
        <v/>
      </c>
      <c r="D4013" t="str">
        <f>"9783110720273"</f>
        <v>9783110720273</v>
      </c>
      <c r="E4013" t="s">
        <v>73</v>
      </c>
      <c r="F4013" s="1">
        <v>42510</v>
      </c>
    </row>
    <row r="4014" spans="1:6" x14ac:dyDescent="0.25">
      <c r="A4014">
        <v>7014954</v>
      </c>
      <c r="B4014" t="s">
        <v>4069</v>
      </c>
      <c r="C4014" t="str">
        <f>""</f>
        <v/>
      </c>
      <c r="D4014" t="str">
        <f>"9783111708645"</f>
        <v>9783111708645</v>
      </c>
      <c r="E4014" t="s">
        <v>73</v>
      </c>
      <c r="F4014" s="1">
        <v>27120</v>
      </c>
    </row>
    <row r="4015" spans="1:6" x14ac:dyDescent="0.25">
      <c r="A4015">
        <v>7014955</v>
      </c>
      <c r="B4015" t="s">
        <v>4070</v>
      </c>
      <c r="C4015" t="str">
        <f>""</f>
        <v/>
      </c>
      <c r="D4015" t="str">
        <f>"9783110655162"</f>
        <v>9783110655162</v>
      </c>
      <c r="E4015" t="s">
        <v>73</v>
      </c>
      <c r="F4015" s="1">
        <v>24108</v>
      </c>
    </row>
    <row r="4016" spans="1:6" x14ac:dyDescent="0.25">
      <c r="A4016">
        <v>7014956</v>
      </c>
      <c r="B4016" t="s">
        <v>4071</v>
      </c>
      <c r="C4016" t="str">
        <f>""</f>
        <v/>
      </c>
      <c r="D4016" t="str">
        <f>"9783110629675"</f>
        <v>9783110629675</v>
      </c>
      <c r="E4016" t="s">
        <v>73</v>
      </c>
      <c r="F4016" s="1">
        <v>44536</v>
      </c>
    </row>
    <row r="4017" spans="1:6" x14ac:dyDescent="0.25">
      <c r="A4017">
        <v>7014957</v>
      </c>
      <c r="B4017" t="s">
        <v>4072</v>
      </c>
      <c r="C4017" t="str">
        <f>""</f>
        <v/>
      </c>
      <c r="D4017" t="str">
        <f>"9783111584430"</f>
        <v>9783111584430</v>
      </c>
      <c r="E4017" t="s">
        <v>73</v>
      </c>
      <c r="F4017" t="s">
        <v>4073</v>
      </c>
    </row>
    <row r="4018" spans="1:6" x14ac:dyDescent="0.25">
      <c r="A4018">
        <v>7014958</v>
      </c>
      <c r="B4018" t="s">
        <v>4074</v>
      </c>
      <c r="C4018" t="str">
        <f>""</f>
        <v/>
      </c>
      <c r="D4018" t="str">
        <f>"9783110674194"</f>
        <v>9783110674194</v>
      </c>
      <c r="E4018" t="s">
        <v>73</v>
      </c>
      <c r="F4018" s="1">
        <v>44446</v>
      </c>
    </row>
    <row r="4019" spans="1:6" x14ac:dyDescent="0.25">
      <c r="A4019">
        <v>7014959</v>
      </c>
      <c r="B4019" t="s">
        <v>4075</v>
      </c>
      <c r="C4019" t="str">
        <f>"9783486559026"</f>
        <v>9783486559026</v>
      </c>
      <c r="D4019" t="str">
        <f>"9783486594218"</f>
        <v>9783486594218</v>
      </c>
      <c r="E4019" t="s">
        <v>73</v>
      </c>
      <c r="F4019" s="1">
        <v>33893</v>
      </c>
    </row>
    <row r="4020" spans="1:6" x14ac:dyDescent="0.25">
      <c r="A4020">
        <v>7014960</v>
      </c>
      <c r="B4020" t="s">
        <v>4076</v>
      </c>
      <c r="C4020" t="str">
        <f>""</f>
        <v/>
      </c>
      <c r="D4020" t="str">
        <f>"9783110707489"</f>
        <v>9783110707489</v>
      </c>
      <c r="E4020" t="s">
        <v>73</v>
      </c>
      <c r="F4020" s="1">
        <v>44494</v>
      </c>
    </row>
    <row r="4021" spans="1:6" x14ac:dyDescent="0.25">
      <c r="A4021">
        <v>7014961</v>
      </c>
      <c r="B4021" t="s">
        <v>4077</v>
      </c>
      <c r="C4021" t="str">
        <f>""</f>
        <v/>
      </c>
      <c r="D4021" t="str">
        <f>"9783486757422"</f>
        <v>9783486757422</v>
      </c>
      <c r="E4021" t="s">
        <v>73</v>
      </c>
      <c r="F4021" s="1">
        <v>10594</v>
      </c>
    </row>
    <row r="4022" spans="1:6" x14ac:dyDescent="0.25">
      <c r="A4022">
        <v>7014962</v>
      </c>
      <c r="B4022" t="s">
        <v>4078</v>
      </c>
      <c r="C4022" t="str">
        <f>""</f>
        <v/>
      </c>
      <c r="D4022" t="str">
        <f>"9783110845273"</f>
        <v>9783110845273</v>
      </c>
      <c r="E4022" t="s">
        <v>73</v>
      </c>
      <c r="F4022" s="1">
        <v>23163</v>
      </c>
    </row>
    <row r="4023" spans="1:6" x14ac:dyDescent="0.25">
      <c r="A4023">
        <v>7014963</v>
      </c>
      <c r="B4023" t="s">
        <v>4079</v>
      </c>
      <c r="C4023" t="str">
        <f>""</f>
        <v/>
      </c>
      <c r="D4023" t="str">
        <f>"9783110664270"</f>
        <v>9783110664270</v>
      </c>
      <c r="E4023" t="s">
        <v>73</v>
      </c>
      <c r="F4023" s="1">
        <v>44355</v>
      </c>
    </row>
    <row r="4024" spans="1:6" x14ac:dyDescent="0.25">
      <c r="A4024">
        <v>7014964</v>
      </c>
      <c r="B4024" t="s">
        <v>4080</v>
      </c>
      <c r="C4024" t="str">
        <f>""</f>
        <v/>
      </c>
      <c r="D4024" t="str">
        <f>"9783486823363"</f>
        <v>9783486823363</v>
      </c>
      <c r="E4024" t="s">
        <v>73</v>
      </c>
      <c r="F4024" s="1">
        <v>30494</v>
      </c>
    </row>
    <row r="4025" spans="1:6" x14ac:dyDescent="0.25">
      <c r="A4025">
        <v>7014965</v>
      </c>
      <c r="B4025" t="s">
        <v>4081</v>
      </c>
      <c r="C4025" t="str">
        <f>""</f>
        <v/>
      </c>
      <c r="D4025" t="str">
        <f>"9783110734690"</f>
        <v>9783110734690</v>
      </c>
      <c r="E4025" t="s">
        <v>53</v>
      </c>
      <c r="F4025" s="1">
        <v>44396</v>
      </c>
    </row>
    <row r="4026" spans="1:6" x14ac:dyDescent="0.25">
      <c r="A4026">
        <v>7014966</v>
      </c>
      <c r="B4026" t="s">
        <v>4082</v>
      </c>
      <c r="C4026" t="str">
        <f>""</f>
        <v/>
      </c>
      <c r="D4026" t="str">
        <f>"9783110675788"</f>
        <v>9783110675788</v>
      </c>
      <c r="E4026" t="s">
        <v>73</v>
      </c>
      <c r="F4026" s="1">
        <v>44536</v>
      </c>
    </row>
    <row r="4027" spans="1:6" x14ac:dyDescent="0.25">
      <c r="A4027">
        <v>7014967</v>
      </c>
      <c r="B4027" t="s">
        <v>4083</v>
      </c>
      <c r="C4027" t="str">
        <f>"9783110586343"</f>
        <v>9783110586343</v>
      </c>
      <c r="D4027" t="str">
        <f>"9783110586374"</f>
        <v>9783110586374</v>
      </c>
      <c r="E4027" t="s">
        <v>73</v>
      </c>
      <c r="F4027" s="1">
        <v>43395</v>
      </c>
    </row>
    <row r="4028" spans="1:6" x14ac:dyDescent="0.25">
      <c r="A4028">
        <v>7014968</v>
      </c>
      <c r="B4028" t="s">
        <v>4084</v>
      </c>
      <c r="C4028" t="str">
        <f>""</f>
        <v/>
      </c>
      <c r="D4028" t="str">
        <f>"9783110735574"</f>
        <v>9783110735574</v>
      </c>
      <c r="E4028" t="s">
        <v>73</v>
      </c>
      <c r="F4028" s="1">
        <v>44326</v>
      </c>
    </row>
    <row r="4029" spans="1:6" x14ac:dyDescent="0.25">
      <c r="A4029">
        <v>7014969</v>
      </c>
      <c r="B4029" t="s">
        <v>4085</v>
      </c>
      <c r="C4029" t="str">
        <f>""</f>
        <v/>
      </c>
      <c r="D4029" t="str">
        <f>"9783486778342"</f>
        <v>9783486778342</v>
      </c>
      <c r="E4029" t="s">
        <v>73</v>
      </c>
      <c r="F4029" s="1">
        <v>18719</v>
      </c>
    </row>
    <row r="4030" spans="1:6" x14ac:dyDescent="0.25">
      <c r="A4030">
        <v>7014970</v>
      </c>
      <c r="B4030" t="s">
        <v>4086</v>
      </c>
      <c r="C4030" t="str">
        <f>""</f>
        <v/>
      </c>
      <c r="D4030" t="str">
        <f>"9783111689692"</f>
        <v>9783111689692</v>
      </c>
      <c r="E4030" t="s">
        <v>73</v>
      </c>
      <c r="F4030" s="1">
        <v>457</v>
      </c>
    </row>
    <row r="4031" spans="1:6" x14ac:dyDescent="0.25">
      <c r="A4031">
        <v>7014971</v>
      </c>
      <c r="B4031" t="s">
        <v>4087</v>
      </c>
      <c r="C4031" t="str">
        <f>""</f>
        <v/>
      </c>
      <c r="D4031" t="str">
        <f>"9783110891041"</f>
        <v>9783110891041</v>
      </c>
      <c r="E4031" t="s">
        <v>53</v>
      </c>
      <c r="F4031" s="1">
        <v>26299</v>
      </c>
    </row>
    <row r="4032" spans="1:6" x14ac:dyDescent="0.25">
      <c r="A4032">
        <v>7014972</v>
      </c>
      <c r="B4032" t="s">
        <v>4088</v>
      </c>
      <c r="C4032" t="str">
        <f>""</f>
        <v/>
      </c>
      <c r="D4032" t="str">
        <f>"9783111569598"</f>
        <v>9783111569598</v>
      </c>
      <c r="E4032" t="s">
        <v>73</v>
      </c>
      <c r="F4032" s="1">
        <v>1187</v>
      </c>
    </row>
    <row r="4033" spans="1:6" x14ac:dyDescent="0.25">
      <c r="A4033">
        <v>7014973</v>
      </c>
      <c r="B4033" t="s">
        <v>4089</v>
      </c>
      <c r="C4033" t="str">
        <f>"9783110601251"</f>
        <v>9783110601251</v>
      </c>
      <c r="D4033" t="str">
        <f>"9783110601268"</f>
        <v>9783110601268</v>
      </c>
      <c r="E4033" t="s">
        <v>73</v>
      </c>
      <c r="F4033" s="1">
        <v>43395</v>
      </c>
    </row>
    <row r="4034" spans="1:6" x14ac:dyDescent="0.25">
      <c r="A4034">
        <v>7014974</v>
      </c>
      <c r="B4034" t="s">
        <v>4090</v>
      </c>
      <c r="C4034" t="str">
        <f>""</f>
        <v/>
      </c>
      <c r="D4034" t="str">
        <f>"9783110665376"</f>
        <v>9783110665376</v>
      </c>
      <c r="E4034" t="s">
        <v>73</v>
      </c>
      <c r="F4034" s="1">
        <v>43990</v>
      </c>
    </row>
    <row r="4035" spans="1:6" x14ac:dyDescent="0.25">
      <c r="A4035">
        <v>7014975</v>
      </c>
      <c r="B4035" t="s">
        <v>4091</v>
      </c>
      <c r="C4035" t="str">
        <f>"9783110607192"</f>
        <v>9783110607192</v>
      </c>
      <c r="D4035" t="str">
        <f>"9783110607208"</f>
        <v>9783110607208</v>
      </c>
      <c r="E4035" t="s">
        <v>73</v>
      </c>
      <c r="F4035" s="1">
        <v>43465</v>
      </c>
    </row>
    <row r="4036" spans="1:6" x14ac:dyDescent="0.25">
      <c r="A4036">
        <v>7014976</v>
      </c>
      <c r="B4036" t="s">
        <v>4092</v>
      </c>
      <c r="C4036" t="str">
        <f>""</f>
        <v/>
      </c>
      <c r="D4036" t="str">
        <f>"9783111642673"</f>
        <v>9783111642673</v>
      </c>
      <c r="E4036" t="s">
        <v>73</v>
      </c>
      <c r="F4036" s="1">
        <v>21641</v>
      </c>
    </row>
    <row r="4037" spans="1:6" x14ac:dyDescent="0.25">
      <c r="A4037">
        <v>7014977</v>
      </c>
      <c r="B4037" t="s">
        <v>4093</v>
      </c>
      <c r="C4037" t="str">
        <f>""</f>
        <v/>
      </c>
      <c r="D4037" t="str">
        <f>"9783110719253"</f>
        <v>9783110719253</v>
      </c>
      <c r="E4037" t="s">
        <v>73</v>
      </c>
      <c r="F4037" s="1">
        <v>44305</v>
      </c>
    </row>
    <row r="4038" spans="1:6" x14ac:dyDescent="0.25">
      <c r="A4038">
        <v>7014978</v>
      </c>
      <c r="B4038" t="s">
        <v>4094</v>
      </c>
      <c r="C4038" t="str">
        <f>""</f>
        <v/>
      </c>
      <c r="D4038" t="str">
        <f>"9788395720451"</f>
        <v>9788395720451</v>
      </c>
      <c r="E4038" t="s">
        <v>73</v>
      </c>
      <c r="F4038" s="1">
        <v>44063</v>
      </c>
    </row>
    <row r="4039" spans="1:6" x14ac:dyDescent="0.25">
      <c r="A4039">
        <v>7014979</v>
      </c>
      <c r="B4039" t="s">
        <v>4095</v>
      </c>
      <c r="C4039" t="str">
        <f>""</f>
        <v/>
      </c>
      <c r="D4039" t="str">
        <f>"9783110709889"</f>
        <v>9783110709889</v>
      </c>
      <c r="E4039" t="s">
        <v>73</v>
      </c>
      <c r="F4039" s="1">
        <v>44263</v>
      </c>
    </row>
    <row r="4040" spans="1:6" x14ac:dyDescent="0.25">
      <c r="A4040">
        <v>7014980</v>
      </c>
      <c r="B4040" t="s">
        <v>4096</v>
      </c>
      <c r="C4040" t="str">
        <f>""</f>
        <v/>
      </c>
      <c r="D4040" t="str">
        <f>"9783110703467"</f>
        <v>9783110703467</v>
      </c>
      <c r="E4040" t="s">
        <v>73</v>
      </c>
      <c r="F4040" s="1">
        <v>44536</v>
      </c>
    </row>
    <row r="4041" spans="1:6" x14ac:dyDescent="0.25">
      <c r="A4041">
        <v>7014981</v>
      </c>
      <c r="B4041" t="s">
        <v>4097</v>
      </c>
      <c r="C4041" t="str">
        <f>""</f>
        <v/>
      </c>
      <c r="D4041" t="str">
        <f>"9783111590677"</f>
        <v>9783111590677</v>
      </c>
      <c r="E4041" t="s">
        <v>73</v>
      </c>
      <c r="F4041" s="1">
        <v>5936</v>
      </c>
    </row>
    <row r="4042" spans="1:6" x14ac:dyDescent="0.25">
      <c r="A4042">
        <v>7014982</v>
      </c>
      <c r="B4042" t="s">
        <v>4098</v>
      </c>
      <c r="C4042" t="str">
        <f>""</f>
        <v/>
      </c>
      <c r="D4042" t="str">
        <f>"9783111667515"</f>
        <v>9783111667515</v>
      </c>
      <c r="E4042" t="s">
        <v>53</v>
      </c>
      <c r="F4042" s="1">
        <v>43556</v>
      </c>
    </row>
    <row r="4043" spans="1:6" x14ac:dyDescent="0.25">
      <c r="A4043">
        <v>7014983</v>
      </c>
      <c r="B4043" t="s">
        <v>4099</v>
      </c>
      <c r="C4043" t="str">
        <f>""</f>
        <v/>
      </c>
      <c r="D4043" t="str">
        <f>"9783422986398"</f>
        <v>9783422986398</v>
      </c>
      <c r="E4043" t="s">
        <v>2404</v>
      </c>
      <c r="F4043" s="1">
        <v>44454</v>
      </c>
    </row>
    <row r="4044" spans="1:6" x14ac:dyDescent="0.25">
      <c r="A4044">
        <v>7014984</v>
      </c>
      <c r="B4044" t="s">
        <v>4100</v>
      </c>
      <c r="C4044" t="str">
        <f>""</f>
        <v/>
      </c>
      <c r="D4044" t="str">
        <f>"9783110730937"</f>
        <v>9783110730937</v>
      </c>
      <c r="E4044" t="s">
        <v>73</v>
      </c>
      <c r="F4044" s="1">
        <v>44263</v>
      </c>
    </row>
    <row r="4045" spans="1:6" x14ac:dyDescent="0.25">
      <c r="A4045">
        <v>7014985</v>
      </c>
      <c r="B4045" t="s">
        <v>4101</v>
      </c>
      <c r="C4045" t="str">
        <f>""</f>
        <v/>
      </c>
      <c r="D4045" t="str">
        <f>"9783486761177"</f>
        <v>9783486761177</v>
      </c>
      <c r="E4045" t="s">
        <v>73</v>
      </c>
      <c r="F4045" s="1">
        <v>25934</v>
      </c>
    </row>
    <row r="4046" spans="1:6" x14ac:dyDescent="0.25">
      <c r="A4046">
        <v>7014986</v>
      </c>
      <c r="B4046" t="s">
        <v>4102</v>
      </c>
      <c r="C4046" t="str">
        <f>""</f>
        <v/>
      </c>
      <c r="D4046" t="str">
        <f>"9783110679151"</f>
        <v>9783110679151</v>
      </c>
      <c r="E4046" t="s">
        <v>73</v>
      </c>
      <c r="F4046" s="1">
        <v>44382</v>
      </c>
    </row>
    <row r="4047" spans="1:6" x14ac:dyDescent="0.25">
      <c r="A4047">
        <v>7014987</v>
      </c>
      <c r="B4047" t="s">
        <v>4103</v>
      </c>
      <c r="C4047" t="str">
        <f>""</f>
        <v/>
      </c>
      <c r="D4047" t="str">
        <f>"9783486746624"</f>
        <v>9783486746624</v>
      </c>
      <c r="E4047" t="s">
        <v>73</v>
      </c>
      <c r="F4047" s="1">
        <v>7762</v>
      </c>
    </row>
    <row r="4048" spans="1:6" x14ac:dyDescent="0.25">
      <c r="A4048">
        <v>7014988</v>
      </c>
      <c r="B4048" t="s">
        <v>4104</v>
      </c>
      <c r="C4048" t="str">
        <f>""</f>
        <v/>
      </c>
      <c r="D4048" t="str">
        <f>"9783111596372"</f>
        <v>9783111596372</v>
      </c>
      <c r="E4048" t="s">
        <v>73</v>
      </c>
      <c r="F4048" t="s">
        <v>4105</v>
      </c>
    </row>
    <row r="4049" spans="1:6" x14ac:dyDescent="0.25">
      <c r="A4049">
        <v>7014989</v>
      </c>
      <c r="B4049" t="s">
        <v>4106</v>
      </c>
      <c r="C4049" t="str">
        <f>""</f>
        <v/>
      </c>
      <c r="D4049" t="str">
        <f>"9783111476513"</f>
        <v>9783111476513</v>
      </c>
      <c r="E4049" t="s">
        <v>73</v>
      </c>
      <c r="F4049" t="s">
        <v>4107</v>
      </c>
    </row>
    <row r="4050" spans="1:6" x14ac:dyDescent="0.25">
      <c r="A4050">
        <v>7014990</v>
      </c>
      <c r="B4050" t="s">
        <v>4108</v>
      </c>
      <c r="C4050" t="str">
        <f>""</f>
        <v/>
      </c>
      <c r="D4050" t="str">
        <f>"9783111655406"</f>
        <v>9783111655406</v>
      </c>
      <c r="E4050" t="s">
        <v>53</v>
      </c>
      <c r="F4050" s="1">
        <v>23833</v>
      </c>
    </row>
    <row r="4051" spans="1:6" x14ac:dyDescent="0.25">
      <c r="A4051">
        <v>7014991</v>
      </c>
      <c r="B4051" t="s">
        <v>4109</v>
      </c>
      <c r="C4051" t="str">
        <f>""</f>
        <v/>
      </c>
      <c r="D4051" t="str">
        <f>"9783111383057"</f>
        <v>9783111383057</v>
      </c>
      <c r="E4051" t="s">
        <v>73</v>
      </c>
      <c r="F4051" s="1">
        <v>26024</v>
      </c>
    </row>
    <row r="4052" spans="1:6" x14ac:dyDescent="0.25">
      <c r="A4052">
        <v>7014992</v>
      </c>
      <c r="B4052" t="s">
        <v>4110</v>
      </c>
      <c r="C4052" t="str">
        <f>""</f>
        <v/>
      </c>
      <c r="D4052" t="str">
        <f>"9783111557823"</f>
        <v>9783111557823</v>
      </c>
      <c r="E4052" t="s">
        <v>53</v>
      </c>
      <c r="F4052" s="1">
        <v>24929</v>
      </c>
    </row>
    <row r="4053" spans="1:6" x14ac:dyDescent="0.25">
      <c r="A4053">
        <v>7014993</v>
      </c>
      <c r="B4053" t="s">
        <v>4111</v>
      </c>
      <c r="C4053" t="str">
        <f>""</f>
        <v/>
      </c>
      <c r="D4053" t="str">
        <f>"9783486780079"</f>
        <v>9783486780079</v>
      </c>
      <c r="E4053" t="s">
        <v>73</v>
      </c>
      <c r="F4053" s="1">
        <v>43617</v>
      </c>
    </row>
    <row r="4054" spans="1:6" x14ac:dyDescent="0.25">
      <c r="A4054">
        <v>7014994</v>
      </c>
      <c r="B4054" t="s">
        <v>4112</v>
      </c>
      <c r="C4054" t="str">
        <f>""</f>
        <v/>
      </c>
      <c r="D4054" t="str">
        <f>"9783110685015"</f>
        <v>9783110685015</v>
      </c>
      <c r="E4054" t="s">
        <v>73</v>
      </c>
      <c r="F4054" s="1">
        <v>44277</v>
      </c>
    </row>
    <row r="4055" spans="1:6" x14ac:dyDescent="0.25">
      <c r="A4055">
        <v>7014995</v>
      </c>
      <c r="B4055" t="s">
        <v>4113</v>
      </c>
      <c r="C4055" t="str">
        <f>""</f>
        <v/>
      </c>
      <c r="D4055" t="str">
        <f>"9783111645551"</f>
        <v>9783111645551</v>
      </c>
      <c r="E4055" t="s">
        <v>73</v>
      </c>
      <c r="F4055" s="1">
        <v>22007</v>
      </c>
    </row>
    <row r="4056" spans="1:6" x14ac:dyDescent="0.25">
      <c r="A4056">
        <v>7014996</v>
      </c>
      <c r="B4056" t="s">
        <v>4114</v>
      </c>
      <c r="C4056" t="str">
        <f>""</f>
        <v/>
      </c>
      <c r="D4056" t="str">
        <f>"9783110673265"</f>
        <v>9783110673265</v>
      </c>
      <c r="E4056" t="s">
        <v>73</v>
      </c>
      <c r="F4056" s="1">
        <v>43990</v>
      </c>
    </row>
    <row r="4057" spans="1:6" x14ac:dyDescent="0.25">
      <c r="A4057">
        <v>7014997</v>
      </c>
      <c r="B4057" t="s">
        <v>4115</v>
      </c>
      <c r="C4057" t="str">
        <f>""</f>
        <v/>
      </c>
      <c r="D4057" t="str">
        <f>"9783486755688"</f>
        <v>9783486755688</v>
      </c>
      <c r="E4057" t="s">
        <v>73</v>
      </c>
      <c r="F4057" s="1">
        <v>9863</v>
      </c>
    </row>
    <row r="4058" spans="1:6" x14ac:dyDescent="0.25">
      <c r="A4058">
        <v>7014998</v>
      </c>
      <c r="B4058" t="s">
        <v>4116</v>
      </c>
      <c r="C4058" t="str">
        <f>""</f>
        <v/>
      </c>
      <c r="D4058" t="str">
        <f>"9783111683898"</f>
        <v>9783111683898</v>
      </c>
      <c r="E4058" t="s">
        <v>73</v>
      </c>
      <c r="F4058" t="s">
        <v>4117</v>
      </c>
    </row>
    <row r="4059" spans="1:6" x14ac:dyDescent="0.25">
      <c r="A4059">
        <v>7014999</v>
      </c>
      <c r="B4059" t="s">
        <v>4118</v>
      </c>
      <c r="C4059" t="str">
        <f>""</f>
        <v/>
      </c>
      <c r="D4059" t="str">
        <f>"9783486762013"</f>
        <v>9783486762013</v>
      </c>
      <c r="E4059" t="s">
        <v>73</v>
      </c>
      <c r="F4059" s="1">
        <v>10959</v>
      </c>
    </row>
    <row r="4060" spans="1:6" x14ac:dyDescent="0.25">
      <c r="A4060">
        <v>7015000</v>
      </c>
      <c r="B4060" t="s">
        <v>4119</v>
      </c>
      <c r="C4060" t="str">
        <f>"9783486558449"</f>
        <v>9783486558449</v>
      </c>
      <c r="D4060" t="str">
        <f>"9783486595635"</f>
        <v>9783486595635</v>
      </c>
      <c r="E4060" t="s">
        <v>73</v>
      </c>
      <c r="F4060" s="1">
        <v>33427</v>
      </c>
    </row>
    <row r="4061" spans="1:6" x14ac:dyDescent="0.25">
      <c r="A4061">
        <v>7015001</v>
      </c>
      <c r="B4061" t="s">
        <v>4120</v>
      </c>
      <c r="C4061" t="str">
        <f>""</f>
        <v/>
      </c>
      <c r="D4061" t="str">
        <f>"9783110622423"</f>
        <v>9783110622423</v>
      </c>
      <c r="E4061" t="s">
        <v>73</v>
      </c>
      <c r="F4061" s="1">
        <v>32933</v>
      </c>
    </row>
    <row r="4062" spans="1:6" x14ac:dyDescent="0.25">
      <c r="A4062">
        <v>7015002</v>
      </c>
      <c r="B4062" t="s">
        <v>4121</v>
      </c>
      <c r="C4062" t="str">
        <f>""</f>
        <v/>
      </c>
      <c r="D4062" t="str">
        <f>"9783486776775"</f>
        <v>9783486776775</v>
      </c>
      <c r="E4062" t="s">
        <v>73</v>
      </c>
      <c r="F4062" s="1">
        <v>17258</v>
      </c>
    </row>
    <row r="4063" spans="1:6" x14ac:dyDescent="0.25">
      <c r="A4063">
        <v>7015003</v>
      </c>
      <c r="B4063" t="s">
        <v>4122</v>
      </c>
      <c r="C4063" t="str">
        <f>""</f>
        <v/>
      </c>
      <c r="D4063" t="str">
        <f>"9783486777932"</f>
        <v>9783486777932</v>
      </c>
      <c r="E4063" t="s">
        <v>73</v>
      </c>
      <c r="F4063" s="1">
        <v>18354</v>
      </c>
    </row>
    <row r="4064" spans="1:6" x14ac:dyDescent="0.25">
      <c r="A4064">
        <v>7015004</v>
      </c>
      <c r="B4064" t="s">
        <v>4123</v>
      </c>
      <c r="C4064" t="str">
        <f>""</f>
        <v/>
      </c>
      <c r="D4064" t="str">
        <f>"9783111604114"</f>
        <v>9783111604114</v>
      </c>
      <c r="E4064" t="s">
        <v>73</v>
      </c>
      <c r="F4064" s="1">
        <v>5936</v>
      </c>
    </row>
    <row r="4065" spans="1:6" x14ac:dyDescent="0.25">
      <c r="A4065">
        <v>7015005</v>
      </c>
      <c r="B4065" t="s">
        <v>4124</v>
      </c>
      <c r="C4065" t="str">
        <f>""</f>
        <v/>
      </c>
      <c r="D4065" t="str">
        <f>"9783110707014"</f>
        <v>9783110707014</v>
      </c>
      <c r="E4065" t="s">
        <v>73</v>
      </c>
      <c r="F4065" s="1">
        <v>44508</v>
      </c>
    </row>
    <row r="4066" spans="1:6" x14ac:dyDescent="0.25">
      <c r="A4066">
        <v>7015006</v>
      </c>
      <c r="B4066" t="s">
        <v>4125</v>
      </c>
      <c r="C4066" t="str">
        <f>""</f>
        <v/>
      </c>
      <c r="D4066" t="str">
        <f>"9783111656892"</f>
        <v>9783111656892</v>
      </c>
      <c r="E4066" t="s">
        <v>73</v>
      </c>
      <c r="F4066" s="1">
        <v>2648</v>
      </c>
    </row>
    <row r="4067" spans="1:6" x14ac:dyDescent="0.25">
      <c r="A4067">
        <v>7015007</v>
      </c>
      <c r="B4067" t="s">
        <v>4126</v>
      </c>
      <c r="C4067" t="str">
        <f>""</f>
        <v/>
      </c>
      <c r="D4067" t="str">
        <f>"9783110688917"</f>
        <v>9783110688917</v>
      </c>
      <c r="E4067" t="s">
        <v>73</v>
      </c>
      <c r="F4067" s="1">
        <v>44396</v>
      </c>
    </row>
    <row r="4068" spans="1:6" x14ac:dyDescent="0.25">
      <c r="A4068">
        <v>7015008</v>
      </c>
      <c r="B4068" t="s">
        <v>4127</v>
      </c>
      <c r="C4068" t="str">
        <f>""</f>
        <v/>
      </c>
      <c r="D4068" t="str">
        <f>"9783110745832"</f>
        <v>9783110745832</v>
      </c>
      <c r="E4068" t="s">
        <v>73</v>
      </c>
      <c r="F4068" s="1">
        <v>44536</v>
      </c>
    </row>
    <row r="4069" spans="1:6" x14ac:dyDescent="0.25">
      <c r="A4069">
        <v>7015009</v>
      </c>
      <c r="B4069" t="s">
        <v>4128</v>
      </c>
      <c r="C4069" t="str">
        <f>""</f>
        <v/>
      </c>
      <c r="D4069" t="str">
        <f>"9783110642018"</f>
        <v>9783110642018</v>
      </c>
      <c r="E4069" t="s">
        <v>73</v>
      </c>
      <c r="F4069" s="1">
        <v>44214</v>
      </c>
    </row>
    <row r="4070" spans="1:6" x14ac:dyDescent="0.25">
      <c r="A4070">
        <v>7015010</v>
      </c>
      <c r="B4070" t="s">
        <v>4129</v>
      </c>
      <c r="C4070" t="str">
        <f>""</f>
        <v/>
      </c>
      <c r="D4070" t="str">
        <f>"9783110446609"</f>
        <v>9783110446609</v>
      </c>
      <c r="E4070" t="s">
        <v>73</v>
      </c>
      <c r="F4070" s="1">
        <v>33955</v>
      </c>
    </row>
    <row r="4071" spans="1:6" x14ac:dyDescent="0.25">
      <c r="A4071">
        <v>7015011</v>
      </c>
      <c r="B4071" t="s">
        <v>4130</v>
      </c>
      <c r="C4071" t="str">
        <f>""</f>
        <v/>
      </c>
      <c r="D4071" t="str">
        <f>"9788395669644"</f>
        <v>9788395669644</v>
      </c>
      <c r="E4071" t="s">
        <v>73</v>
      </c>
      <c r="F4071" s="1">
        <v>44410</v>
      </c>
    </row>
    <row r="4072" spans="1:6" x14ac:dyDescent="0.25">
      <c r="A4072">
        <v>7015012</v>
      </c>
      <c r="B4072" t="s">
        <v>4131</v>
      </c>
      <c r="C4072" t="str">
        <f>""</f>
        <v/>
      </c>
      <c r="D4072" t="str">
        <f>"9783110614244"</f>
        <v>9783110614244</v>
      </c>
      <c r="E4072" t="s">
        <v>73</v>
      </c>
      <c r="F4072" s="1">
        <v>43759</v>
      </c>
    </row>
    <row r="4073" spans="1:6" x14ac:dyDescent="0.25">
      <c r="A4073">
        <v>7015013</v>
      </c>
      <c r="B4073" t="s">
        <v>4132</v>
      </c>
      <c r="C4073" t="str">
        <f>"9783111280967"</f>
        <v>9783111280967</v>
      </c>
      <c r="D4073" t="str">
        <f>"9783111717784"</f>
        <v>9783111717784</v>
      </c>
      <c r="E4073" t="s">
        <v>73</v>
      </c>
      <c r="F4073" t="s">
        <v>4133</v>
      </c>
    </row>
    <row r="4074" spans="1:6" x14ac:dyDescent="0.25">
      <c r="A4074">
        <v>7015014</v>
      </c>
      <c r="B4074" t="s">
        <v>4134</v>
      </c>
      <c r="C4074" t="str">
        <f>""</f>
        <v/>
      </c>
      <c r="D4074" t="str">
        <f>"9783110731361"</f>
        <v>9783110731361</v>
      </c>
      <c r="E4074" t="s">
        <v>73</v>
      </c>
      <c r="F4074" s="1">
        <v>44292</v>
      </c>
    </row>
    <row r="4075" spans="1:6" x14ac:dyDescent="0.25">
      <c r="A4075">
        <v>7015015</v>
      </c>
      <c r="B4075" t="s">
        <v>4135</v>
      </c>
      <c r="C4075" t="str">
        <f>""</f>
        <v/>
      </c>
      <c r="D4075" t="str">
        <f>"9783110732740"</f>
        <v>9783110732740</v>
      </c>
      <c r="E4075" t="s">
        <v>73</v>
      </c>
      <c r="F4075" s="1">
        <v>44326</v>
      </c>
    </row>
    <row r="4076" spans="1:6" x14ac:dyDescent="0.25">
      <c r="A4076">
        <v>7015016</v>
      </c>
      <c r="B4076" t="s">
        <v>4136</v>
      </c>
      <c r="C4076" t="str">
        <f>""</f>
        <v/>
      </c>
      <c r="D4076" t="str">
        <f>"9783110811865"</f>
        <v>9783110811865</v>
      </c>
      <c r="E4076" t="s">
        <v>53</v>
      </c>
      <c r="F4076" s="1">
        <v>43497</v>
      </c>
    </row>
    <row r="4077" spans="1:6" x14ac:dyDescent="0.25">
      <c r="A4077">
        <v>7015017</v>
      </c>
      <c r="B4077" t="s">
        <v>4137</v>
      </c>
      <c r="C4077" t="str">
        <f>""</f>
        <v/>
      </c>
      <c r="D4077" t="str">
        <f>"9783486817300"</f>
        <v>9783486817300</v>
      </c>
      <c r="E4077" t="s">
        <v>73</v>
      </c>
      <c r="F4077" s="1">
        <v>27364</v>
      </c>
    </row>
    <row r="4078" spans="1:6" x14ac:dyDescent="0.25">
      <c r="A4078">
        <v>7015018</v>
      </c>
      <c r="B4078" t="s">
        <v>4138</v>
      </c>
      <c r="C4078" t="str">
        <f>""</f>
        <v/>
      </c>
      <c r="D4078" t="str">
        <f>"9783110709308"</f>
        <v>9783110709308</v>
      </c>
      <c r="E4078" t="s">
        <v>73</v>
      </c>
      <c r="F4078" s="1">
        <v>44473</v>
      </c>
    </row>
    <row r="4079" spans="1:6" x14ac:dyDescent="0.25">
      <c r="A4079">
        <v>7015019</v>
      </c>
      <c r="B4079" t="s">
        <v>4139</v>
      </c>
      <c r="C4079" t="str">
        <f>""</f>
        <v/>
      </c>
      <c r="D4079" t="str">
        <f>"9783486758276"</f>
        <v>9783486758276</v>
      </c>
      <c r="E4079" t="s">
        <v>73</v>
      </c>
      <c r="F4079" s="1">
        <v>4019</v>
      </c>
    </row>
    <row r="4080" spans="1:6" x14ac:dyDescent="0.25">
      <c r="A4080">
        <v>7015020</v>
      </c>
      <c r="B4080" t="s">
        <v>4140</v>
      </c>
      <c r="C4080" t="str">
        <f>"9783110586381"</f>
        <v>9783110586381</v>
      </c>
      <c r="D4080" t="str">
        <f>"9783110586459"</f>
        <v>9783110586459</v>
      </c>
      <c r="E4080" t="s">
        <v>73</v>
      </c>
      <c r="F4080" s="1">
        <v>43395</v>
      </c>
    </row>
    <row r="4081" spans="1:6" x14ac:dyDescent="0.25">
      <c r="A4081">
        <v>7015021</v>
      </c>
      <c r="B4081" t="s">
        <v>4141</v>
      </c>
      <c r="C4081" t="str">
        <f>"9783110613209"</f>
        <v>9783110613209</v>
      </c>
      <c r="D4081" t="str">
        <f>"9783110614855"</f>
        <v>9783110614855</v>
      </c>
      <c r="E4081" t="s">
        <v>73</v>
      </c>
      <c r="F4081" s="1">
        <v>43409</v>
      </c>
    </row>
    <row r="4082" spans="1:6" x14ac:dyDescent="0.25">
      <c r="A4082">
        <v>7015022</v>
      </c>
      <c r="B4082" t="s">
        <v>4142</v>
      </c>
      <c r="C4082" t="str">
        <f>""</f>
        <v/>
      </c>
      <c r="D4082" t="str">
        <f>"9783110636628"</f>
        <v>9783110636628</v>
      </c>
      <c r="E4082" t="s">
        <v>73</v>
      </c>
      <c r="F4082" s="1">
        <v>44081</v>
      </c>
    </row>
    <row r="4083" spans="1:6" x14ac:dyDescent="0.25">
      <c r="A4083">
        <v>7015023</v>
      </c>
      <c r="B4083" t="s">
        <v>4143</v>
      </c>
      <c r="C4083" t="str">
        <f>""</f>
        <v/>
      </c>
      <c r="D4083" t="str">
        <f>"9783110683042"</f>
        <v>9783110683042</v>
      </c>
      <c r="E4083" t="s">
        <v>73</v>
      </c>
      <c r="F4083" s="1">
        <v>44536</v>
      </c>
    </row>
    <row r="4084" spans="1:6" x14ac:dyDescent="0.25">
      <c r="A4084">
        <v>7015024</v>
      </c>
      <c r="B4084" t="s">
        <v>4144</v>
      </c>
      <c r="C4084" t="str">
        <f>""</f>
        <v/>
      </c>
      <c r="D4084" t="str">
        <f>"9783110667189"</f>
        <v>9783110667189</v>
      </c>
      <c r="E4084" t="s">
        <v>73</v>
      </c>
      <c r="F4084" s="1">
        <v>44158</v>
      </c>
    </row>
    <row r="4085" spans="1:6" x14ac:dyDescent="0.25">
      <c r="A4085">
        <v>7015025</v>
      </c>
      <c r="B4085" t="s">
        <v>4145</v>
      </c>
      <c r="C4085" t="str">
        <f>"9783110605198"</f>
        <v>9783110605198</v>
      </c>
      <c r="D4085" t="str">
        <f>"9783110605570"</f>
        <v>9783110605570</v>
      </c>
      <c r="E4085" t="s">
        <v>73</v>
      </c>
      <c r="F4085" s="1">
        <v>43451</v>
      </c>
    </row>
    <row r="4086" spans="1:6" x14ac:dyDescent="0.25">
      <c r="A4086">
        <v>7015026</v>
      </c>
      <c r="B4086" t="s">
        <v>4146</v>
      </c>
      <c r="C4086" t="str">
        <f>"9783110576832"</f>
        <v>9783110576832</v>
      </c>
      <c r="D4086" t="str">
        <f>"9783110591484"</f>
        <v>9783110591484</v>
      </c>
      <c r="E4086" t="s">
        <v>53</v>
      </c>
      <c r="F4086" s="1">
        <v>44158</v>
      </c>
    </row>
    <row r="4087" spans="1:6" x14ac:dyDescent="0.25">
      <c r="A4087">
        <v>7015027</v>
      </c>
      <c r="B4087" t="s">
        <v>4147</v>
      </c>
      <c r="C4087" t="str">
        <f>""</f>
        <v/>
      </c>
      <c r="D4087" t="str">
        <f>"9783111578156"</f>
        <v>9783111578156</v>
      </c>
      <c r="E4087" t="s">
        <v>73</v>
      </c>
      <c r="F4087" s="1">
        <v>23102</v>
      </c>
    </row>
    <row r="4088" spans="1:6" x14ac:dyDescent="0.25">
      <c r="A4088">
        <v>7015028</v>
      </c>
      <c r="B4088" t="s">
        <v>4148</v>
      </c>
      <c r="C4088" t="str">
        <f>""</f>
        <v/>
      </c>
      <c r="D4088" t="str">
        <f>"9783110695755"</f>
        <v>9783110695755</v>
      </c>
      <c r="E4088" t="s">
        <v>73</v>
      </c>
      <c r="F4088" s="1">
        <v>44235</v>
      </c>
    </row>
    <row r="4089" spans="1:6" x14ac:dyDescent="0.25">
      <c r="A4089">
        <v>7015029</v>
      </c>
      <c r="B4089" t="s">
        <v>4149</v>
      </c>
      <c r="C4089" t="str">
        <f>""</f>
        <v/>
      </c>
      <c r="D4089" t="str">
        <f>"9783110828368"</f>
        <v>9783110828368</v>
      </c>
      <c r="E4089" t="s">
        <v>53</v>
      </c>
      <c r="F4089" s="1">
        <v>43497</v>
      </c>
    </row>
    <row r="4090" spans="1:6" x14ac:dyDescent="0.25">
      <c r="A4090">
        <v>7015030</v>
      </c>
      <c r="B4090" t="s">
        <v>4150</v>
      </c>
      <c r="C4090" t="str">
        <f>""</f>
        <v/>
      </c>
      <c r="D4090" t="str">
        <f>"9783486772548"</f>
        <v>9783486772548</v>
      </c>
      <c r="E4090" t="s">
        <v>73</v>
      </c>
      <c r="F4090" s="1">
        <v>14702</v>
      </c>
    </row>
    <row r="4091" spans="1:6" x14ac:dyDescent="0.25">
      <c r="A4091">
        <v>7015031</v>
      </c>
      <c r="B4091" t="s">
        <v>4151</v>
      </c>
      <c r="C4091" t="str">
        <f>""</f>
        <v/>
      </c>
      <c r="D4091" t="str">
        <f>"9783110825411"</f>
        <v>9783110825411</v>
      </c>
      <c r="E4091" t="s">
        <v>73</v>
      </c>
      <c r="F4091" s="1">
        <v>24077</v>
      </c>
    </row>
    <row r="4092" spans="1:6" x14ac:dyDescent="0.25">
      <c r="A4092">
        <v>7015032</v>
      </c>
      <c r="B4092" t="s">
        <v>4152</v>
      </c>
      <c r="C4092" t="str">
        <f>""</f>
        <v/>
      </c>
      <c r="D4092" t="str">
        <f>"9783110671995"</f>
        <v>9783110671995</v>
      </c>
      <c r="E4092" t="s">
        <v>73</v>
      </c>
      <c r="F4092" s="1">
        <v>44431</v>
      </c>
    </row>
    <row r="4093" spans="1:6" x14ac:dyDescent="0.25">
      <c r="A4093">
        <v>7015033</v>
      </c>
      <c r="B4093" t="s">
        <v>4153</v>
      </c>
      <c r="C4093" t="str">
        <f>""</f>
        <v/>
      </c>
      <c r="D4093" t="str">
        <f>"9783110677072"</f>
        <v>9783110677072</v>
      </c>
      <c r="E4093" t="s">
        <v>73</v>
      </c>
      <c r="F4093" s="1">
        <v>44004</v>
      </c>
    </row>
    <row r="4094" spans="1:6" x14ac:dyDescent="0.25">
      <c r="A4094">
        <v>7015034</v>
      </c>
      <c r="B4094" t="s">
        <v>4154</v>
      </c>
      <c r="C4094" t="str">
        <f>""</f>
        <v/>
      </c>
      <c r="D4094" t="str">
        <f>"9788395793875"</f>
        <v>9788395793875</v>
      </c>
      <c r="E4094" t="s">
        <v>73</v>
      </c>
      <c r="F4094" s="1">
        <v>44195</v>
      </c>
    </row>
    <row r="4095" spans="1:6" x14ac:dyDescent="0.25">
      <c r="A4095">
        <v>7015035</v>
      </c>
      <c r="B4095" t="s">
        <v>4155</v>
      </c>
      <c r="C4095" t="str">
        <f>""</f>
        <v/>
      </c>
      <c r="D4095" t="str">
        <f>"9783110684827"</f>
        <v>9783110684827</v>
      </c>
      <c r="E4095" t="s">
        <v>73</v>
      </c>
      <c r="F4095" s="1">
        <v>44214</v>
      </c>
    </row>
    <row r="4096" spans="1:6" x14ac:dyDescent="0.25">
      <c r="A4096">
        <v>7015036</v>
      </c>
      <c r="B4096" t="s">
        <v>4156</v>
      </c>
      <c r="C4096" t="str">
        <f>""</f>
        <v/>
      </c>
      <c r="D4096" t="str">
        <f>"9783111457550"</f>
        <v>9783111457550</v>
      </c>
      <c r="E4096" t="s">
        <v>73</v>
      </c>
      <c r="F4096" s="1">
        <v>457</v>
      </c>
    </row>
    <row r="4097" spans="1:6" x14ac:dyDescent="0.25">
      <c r="A4097">
        <v>7015037</v>
      </c>
      <c r="B4097" t="s">
        <v>4157</v>
      </c>
      <c r="C4097" t="str">
        <f>""</f>
        <v/>
      </c>
      <c r="D4097" t="str">
        <f>"9783111611242"</f>
        <v>9783111611242</v>
      </c>
      <c r="E4097" t="s">
        <v>73</v>
      </c>
      <c r="F4097" s="1">
        <v>21276</v>
      </c>
    </row>
    <row r="4098" spans="1:6" x14ac:dyDescent="0.25">
      <c r="A4098">
        <v>7015038</v>
      </c>
      <c r="B4098" t="s">
        <v>4158</v>
      </c>
      <c r="C4098" t="str">
        <f>""</f>
        <v/>
      </c>
      <c r="D4098" t="str">
        <f>"9783111575803"</f>
        <v>9783111575803</v>
      </c>
      <c r="E4098" t="s">
        <v>73</v>
      </c>
      <c r="F4098" s="1">
        <v>43497</v>
      </c>
    </row>
    <row r="4099" spans="1:6" x14ac:dyDescent="0.25">
      <c r="A4099">
        <v>7015039</v>
      </c>
      <c r="B4099" t="s">
        <v>4159</v>
      </c>
      <c r="C4099" t="str">
        <f>""</f>
        <v/>
      </c>
      <c r="D4099" t="str">
        <f>"9783110627275"</f>
        <v>9783110627275</v>
      </c>
      <c r="E4099" t="s">
        <v>73</v>
      </c>
      <c r="F4099" s="1">
        <v>44249</v>
      </c>
    </row>
    <row r="4100" spans="1:6" x14ac:dyDescent="0.25">
      <c r="A4100">
        <v>7015040</v>
      </c>
      <c r="B4100" t="s">
        <v>4160</v>
      </c>
      <c r="C4100" t="str">
        <f>"9783111114552"</f>
        <v>9783111114552</v>
      </c>
      <c r="D4100" t="str">
        <f>"9783111481395"</f>
        <v>9783111481395</v>
      </c>
      <c r="E4100" t="s">
        <v>73</v>
      </c>
      <c r="F4100" s="1">
        <v>7031</v>
      </c>
    </row>
    <row r="4101" spans="1:6" x14ac:dyDescent="0.25">
      <c r="A4101">
        <v>7015041</v>
      </c>
      <c r="B4101" t="s">
        <v>4161</v>
      </c>
      <c r="C4101" t="str">
        <f>""</f>
        <v/>
      </c>
      <c r="D4101" t="str">
        <f>"9783110714333"</f>
        <v>9783110714333</v>
      </c>
      <c r="E4101" t="s">
        <v>73</v>
      </c>
      <c r="F4101" s="1">
        <v>44158</v>
      </c>
    </row>
    <row r="4102" spans="1:6" x14ac:dyDescent="0.25">
      <c r="A4102">
        <v>7015042</v>
      </c>
      <c r="B4102" t="s">
        <v>4162</v>
      </c>
      <c r="C4102" t="str">
        <f>""</f>
        <v/>
      </c>
      <c r="D4102" t="str">
        <f>"9783110756432"</f>
        <v>9783110756432</v>
      </c>
      <c r="E4102" t="s">
        <v>73</v>
      </c>
      <c r="F4102" s="1">
        <v>44494</v>
      </c>
    </row>
    <row r="4103" spans="1:6" x14ac:dyDescent="0.25">
      <c r="A4103">
        <v>7015043</v>
      </c>
      <c r="B4103" t="s">
        <v>4163</v>
      </c>
      <c r="C4103" t="str">
        <f>""</f>
        <v/>
      </c>
      <c r="D4103" t="str">
        <f>"9783111543222"</f>
        <v>9783111543222</v>
      </c>
      <c r="E4103" t="s">
        <v>53</v>
      </c>
      <c r="F4103" s="1">
        <v>24929</v>
      </c>
    </row>
    <row r="4104" spans="1:6" x14ac:dyDescent="0.25">
      <c r="A4104">
        <v>7015044</v>
      </c>
      <c r="B4104" t="s">
        <v>4164</v>
      </c>
      <c r="C4104" t="str">
        <f>""</f>
        <v/>
      </c>
      <c r="D4104" t="str">
        <f>"9783110671056"</f>
        <v>9783110671056</v>
      </c>
      <c r="E4104" t="s">
        <v>73</v>
      </c>
      <c r="F4104" s="1">
        <v>44368</v>
      </c>
    </row>
    <row r="4105" spans="1:6" x14ac:dyDescent="0.25">
      <c r="A4105">
        <v>7015045</v>
      </c>
      <c r="B4105" t="s">
        <v>4165</v>
      </c>
      <c r="C4105" t="str">
        <f>""</f>
        <v/>
      </c>
      <c r="D4105" t="str">
        <f>"9783111698281"</f>
        <v>9783111698281</v>
      </c>
      <c r="E4105" t="s">
        <v>53</v>
      </c>
      <c r="F4105" s="1">
        <v>25569</v>
      </c>
    </row>
    <row r="4106" spans="1:6" x14ac:dyDescent="0.25">
      <c r="A4106">
        <v>7015046</v>
      </c>
      <c r="B4106" t="s">
        <v>4166</v>
      </c>
      <c r="C4106" t="str">
        <f>""</f>
        <v/>
      </c>
      <c r="D4106" t="str">
        <f>"9783111502731"</f>
        <v>9783111502731</v>
      </c>
      <c r="E4106" t="s">
        <v>73</v>
      </c>
      <c r="F4106" s="1">
        <v>21276</v>
      </c>
    </row>
    <row r="4107" spans="1:6" x14ac:dyDescent="0.25">
      <c r="A4107">
        <v>7015047</v>
      </c>
      <c r="B4107" t="s">
        <v>4167</v>
      </c>
      <c r="C4107" t="str">
        <f>""</f>
        <v/>
      </c>
      <c r="D4107" t="str">
        <f>"9783110720358"</f>
        <v>9783110720358</v>
      </c>
      <c r="E4107" t="s">
        <v>73</v>
      </c>
      <c r="F4107" s="1">
        <v>43008</v>
      </c>
    </row>
    <row r="4108" spans="1:6" x14ac:dyDescent="0.25">
      <c r="A4108">
        <v>7015048</v>
      </c>
      <c r="B4108" t="s">
        <v>4168</v>
      </c>
      <c r="C4108" t="str">
        <f>""</f>
        <v/>
      </c>
      <c r="D4108" t="str">
        <f>"9783110698732"</f>
        <v>9783110698732</v>
      </c>
      <c r="E4108" t="s">
        <v>73</v>
      </c>
      <c r="F4108" s="1">
        <v>44158</v>
      </c>
    </row>
    <row r="4109" spans="1:6" x14ac:dyDescent="0.25">
      <c r="A4109">
        <v>7015049</v>
      </c>
      <c r="B4109" t="s">
        <v>4169</v>
      </c>
      <c r="C4109" t="str">
        <f>""</f>
        <v/>
      </c>
      <c r="D4109" t="str">
        <f>"9783110726534"</f>
        <v>9783110726534</v>
      </c>
      <c r="E4109" t="s">
        <v>73</v>
      </c>
      <c r="F4109" s="1">
        <v>44382</v>
      </c>
    </row>
    <row r="4110" spans="1:6" x14ac:dyDescent="0.25">
      <c r="A4110">
        <v>7015050</v>
      </c>
      <c r="B4110" t="s">
        <v>4170</v>
      </c>
      <c r="C4110" t="str">
        <f>""</f>
        <v/>
      </c>
      <c r="D4110" t="str">
        <f>"9783110718133"</f>
        <v>9783110718133</v>
      </c>
      <c r="E4110" t="s">
        <v>73</v>
      </c>
      <c r="F4110" s="1">
        <v>44235</v>
      </c>
    </row>
    <row r="4111" spans="1:6" x14ac:dyDescent="0.25">
      <c r="A4111">
        <v>7015051</v>
      </c>
      <c r="B4111" t="s">
        <v>4171</v>
      </c>
      <c r="C4111" t="str">
        <f>""</f>
        <v/>
      </c>
      <c r="D4111" t="str">
        <f>"9783110736199"</f>
        <v>9783110736199</v>
      </c>
      <c r="E4111" t="s">
        <v>73</v>
      </c>
      <c r="F4111" s="1">
        <v>44494</v>
      </c>
    </row>
    <row r="4112" spans="1:6" x14ac:dyDescent="0.25">
      <c r="A4112">
        <v>7015052</v>
      </c>
      <c r="B4112" t="s">
        <v>4172</v>
      </c>
      <c r="C4112" t="str">
        <f>""</f>
        <v/>
      </c>
      <c r="D4112" t="str">
        <f>"9783110729085"</f>
        <v>9783110729085</v>
      </c>
      <c r="E4112" t="s">
        <v>73</v>
      </c>
      <c r="F4112" s="1">
        <v>44355</v>
      </c>
    </row>
    <row r="4113" spans="1:6" x14ac:dyDescent="0.25">
      <c r="A4113">
        <v>7015053</v>
      </c>
      <c r="B4113" t="s">
        <v>4173</v>
      </c>
      <c r="C4113" t="str">
        <f>""</f>
        <v/>
      </c>
      <c r="D4113" t="str">
        <f>"9783110743838"</f>
        <v>9783110743838</v>
      </c>
      <c r="E4113" t="s">
        <v>73</v>
      </c>
      <c r="F4113" s="1">
        <v>44522</v>
      </c>
    </row>
    <row r="4114" spans="1:6" x14ac:dyDescent="0.25">
      <c r="A4114">
        <v>7015054</v>
      </c>
      <c r="B4114" t="s">
        <v>4174</v>
      </c>
      <c r="C4114" t="str">
        <f>""</f>
        <v/>
      </c>
      <c r="D4114" t="str">
        <f>"9783111337579"</f>
        <v>9783111337579</v>
      </c>
      <c r="E4114" t="s">
        <v>73</v>
      </c>
      <c r="F4114" s="1">
        <v>24563</v>
      </c>
    </row>
    <row r="4115" spans="1:6" x14ac:dyDescent="0.25">
      <c r="A4115">
        <v>7015055</v>
      </c>
      <c r="B4115" t="s">
        <v>4175</v>
      </c>
      <c r="C4115" t="str">
        <f>""</f>
        <v/>
      </c>
      <c r="D4115" t="str">
        <f>"9783110821482"</f>
        <v>9783110821482</v>
      </c>
      <c r="E4115" t="s">
        <v>73</v>
      </c>
      <c r="F4115" s="1">
        <v>43497</v>
      </c>
    </row>
    <row r="4116" spans="1:6" x14ac:dyDescent="0.25">
      <c r="A4116">
        <v>7015056</v>
      </c>
      <c r="B4116" t="s">
        <v>4176</v>
      </c>
      <c r="C4116" t="str">
        <f>""</f>
        <v/>
      </c>
      <c r="D4116" t="str">
        <f>"9783110657760"</f>
        <v>9783110657760</v>
      </c>
      <c r="E4116" t="s">
        <v>73</v>
      </c>
      <c r="F4116" s="1">
        <v>44181</v>
      </c>
    </row>
    <row r="4117" spans="1:6" x14ac:dyDescent="0.25">
      <c r="A4117">
        <v>7015057</v>
      </c>
      <c r="B4117" t="s">
        <v>4177</v>
      </c>
      <c r="C4117" t="str">
        <f>""</f>
        <v/>
      </c>
      <c r="D4117" t="str">
        <f>"9783110692990"</f>
        <v>9783110692990</v>
      </c>
      <c r="E4117" t="s">
        <v>73</v>
      </c>
      <c r="F4117" s="1">
        <v>44522</v>
      </c>
    </row>
    <row r="4118" spans="1:6" x14ac:dyDescent="0.25">
      <c r="A4118">
        <v>7015058</v>
      </c>
      <c r="B4118" t="s">
        <v>4178</v>
      </c>
      <c r="C4118" t="str">
        <f>""</f>
        <v/>
      </c>
      <c r="D4118" t="str">
        <f>"9783110730777"</f>
        <v>9783110730777</v>
      </c>
      <c r="E4118" t="s">
        <v>73</v>
      </c>
      <c r="F4118" s="1">
        <v>44508</v>
      </c>
    </row>
    <row r="4119" spans="1:6" x14ac:dyDescent="0.25">
      <c r="A4119">
        <v>7015059</v>
      </c>
      <c r="B4119" t="s">
        <v>4179</v>
      </c>
      <c r="C4119" t="str">
        <f>""</f>
        <v/>
      </c>
      <c r="D4119" t="str">
        <f>"9783110720112"</f>
        <v>9783110720112</v>
      </c>
      <c r="E4119" t="s">
        <v>73</v>
      </c>
      <c r="F4119" s="1">
        <v>42114</v>
      </c>
    </row>
    <row r="4120" spans="1:6" x14ac:dyDescent="0.25">
      <c r="A4120">
        <v>7015060</v>
      </c>
      <c r="B4120" t="s">
        <v>4180</v>
      </c>
      <c r="C4120" t="str">
        <f>""</f>
        <v/>
      </c>
      <c r="D4120" t="str">
        <f>"9783110732139"</f>
        <v>9783110732139</v>
      </c>
      <c r="E4120" t="s">
        <v>73</v>
      </c>
      <c r="F4120" s="1">
        <v>44305</v>
      </c>
    </row>
    <row r="4121" spans="1:6" x14ac:dyDescent="0.25">
      <c r="A4121">
        <v>7015061</v>
      </c>
      <c r="B4121" t="s">
        <v>4181</v>
      </c>
      <c r="C4121" t="str">
        <f>""</f>
        <v/>
      </c>
      <c r="D4121" t="str">
        <f>"9783111665023"</f>
        <v>9783111665023</v>
      </c>
      <c r="E4121" t="s">
        <v>73</v>
      </c>
      <c r="F4121" s="1">
        <v>22737</v>
      </c>
    </row>
    <row r="4122" spans="1:6" x14ac:dyDescent="0.25">
      <c r="A4122">
        <v>7015062</v>
      </c>
      <c r="B4122" t="s">
        <v>4182</v>
      </c>
      <c r="C4122" t="str">
        <f>""</f>
        <v/>
      </c>
      <c r="D4122" t="str">
        <f>"9783111621098"</f>
        <v>9783111621098</v>
      </c>
      <c r="E4122" t="s">
        <v>73</v>
      </c>
      <c r="F4122" s="1">
        <v>43497</v>
      </c>
    </row>
    <row r="4123" spans="1:6" x14ac:dyDescent="0.25">
      <c r="A4123">
        <v>7015063</v>
      </c>
      <c r="B4123" t="s">
        <v>4183</v>
      </c>
      <c r="C4123" t="str">
        <f>""</f>
        <v/>
      </c>
      <c r="D4123" t="str">
        <f>"9783110715309"</f>
        <v>9783110715309</v>
      </c>
      <c r="E4123" t="s">
        <v>73</v>
      </c>
      <c r="F4123" s="1">
        <v>44181</v>
      </c>
    </row>
    <row r="4124" spans="1:6" x14ac:dyDescent="0.25">
      <c r="A4124">
        <v>7015064</v>
      </c>
      <c r="B4124" t="s">
        <v>4184</v>
      </c>
      <c r="C4124" t="str">
        <f>"9783110612479"</f>
        <v>9783110612479</v>
      </c>
      <c r="D4124" t="str">
        <f>"9783110615463"</f>
        <v>9783110615463</v>
      </c>
      <c r="E4124" t="s">
        <v>73</v>
      </c>
      <c r="F4124" s="1">
        <v>44081</v>
      </c>
    </row>
    <row r="4125" spans="1:6" x14ac:dyDescent="0.25">
      <c r="A4125">
        <v>7015065</v>
      </c>
      <c r="B4125" t="s">
        <v>4185</v>
      </c>
      <c r="C4125" t="str">
        <f>""</f>
        <v/>
      </c>
      <c r="D4125" t="str">
        <f>"9783111352862"</f>
        <v>9783111352862</v>
      </c>
      <c r="E4125" t="s">
        <v>53</v>
      </c>
      <c r="F4125" s="1">
        <v>24198</v>
      </c>
    </row>
    <row r="4126" spans="1:6" x14ac:dyDescent="0.25">
      <c r="A4126">
        <v>7015066</v>
      </c>
      <c r="B4126" t="s">
        <v>4186</v>
      </c>
      <c r="C4126" t="str">
        <f>"9783110557893"</f>
        <v>9783110557893</v>
      </c>
      <c r="D4126" t="str">
        <f>"9783110615746"</f>
        <v>9783110615746</v>
      </c>
      <c r="E4126" t="s">
        <v>73</v>
      </c>
      <c r="F4126" s="1">
        <v>43333</v>
      </c>
    </row>
    <row r="4127" spans="1:6" x14ac:dyDescent="0.25">
      <c r="A4127">
        <v>7015067</v>
      </c>
      <c r="B4127" t="s">
        <v>4187</v>
      </c>
      <c r="C4127" t="str">
        <f>"9783111269849"</f>
        <v>9783111269849</v>
      </c>
      <c r="D4127" t="str">
        <f>"9783111653877"</f>
        <v>9783111653877</v>
      </c>
      <c r="E4127" t="s">
        <v>73</v>
      </c>
      <c r="F4127" t="s">
        <v>4188</v>
      </c>
    </row>
    <row r="4128" spans="1:6" x14ac:dyDescent="0.25">
      <c r="A4128">
        <v>7015068</v>
      </c>
      <c r="B4128" t="s">
        <v>4189</v>
      </c>
      <c r="C4128" t="str">
        <f>""</f>
        <v/>
      </c>
      <c r="D4128" t="str">
        <f>"9783110748406"</f>
        <v>9783110748406</v>
      </c>
      <c r="E4128" t="s">
        <v>73</v>
      </c>
      <c r="F4128" s="1">
        <v>44494</v>
      </c>
    </row>
    <row r="4129" spans="1:6" x14ac:dyDescent="0.25">
      <c r="A4129">
        <v>7015069</v>
      </c>
      <c r="B4129" t="s">
        <v>4190</v>
      </c>
      <c r="C4129" t="str">
        <f>""</f>
        <v/>
      </c>
      <c r="D4129" t="str">
        <f>"9783110682038"</f>
        <v>9783110682038</v>
      </c>
      <c r="E4129" t="s">
        <v>73</v>
      </c>
      <c r="F4129" s="1">
        <v>43990</v>
      </c>
    </row>
    <row r="4130" spans="1:6" x14ac:dyDescent="0.25">
      <c r="A4130">
        <v>7015070</v>
      </c>
      <c r="B4130" t="s">
        <v>4191</v>
      </c>
      <c r="C4130" t="str">
        <f>""</f>
        <v/>
      </c>
      <c r="D4130" t="str">
        <f>"9783110709292"</f>
        <v>9783110709292</v>
      </c>
      <c r="E4130" t="s">
        <v>73</v>
      </c>
      <c r="F4130" s="1">
        <v>44494</v>
      </c>
    </row>
    <row r="4131" spans="1:6" x14ac:dyDescent="0.25">
      <c r="A4131">
        <v>7015071</v>
      </c>
      <c r="B4131" t="s">
        <v>4192</v>
      </c>
      <c r="C4131" t="str">
        <f>""</f>
        <v/>
      </c>
      <c r="D4131" t="str">
        <f>"9783486777611"</f>
        <v>9783486777611</v>
      </c>
      <c r="E4131" t="s">
        <v>73</v>
      </c>
      <c r="F4131" s="1">
        <v>18354</v>
      </c>
    </row>
    <row r="4132" spans="1:6" x14ac:dyDescent="0.25">
      <c r="A4132">
        <v>7015072</v>
      </c>
      <c r="B4132" t="s">
        <v>4193</v>
      </c>
      <c r="C4132" t="str">
        <f>""</f>
        <v/>
      </c>
      <c r="D4132" t="str">
        <f>"9783110880618"</f>
        <v>9783110880618</v>
      </c>
      <c r="E4132" t="s">
        <v>73</v>
      </c>
      <c r="F4132" s="1">
        <v>33543</v>
      </c>
    </row>
    <row r="4133" spans="1:6" x14ac:dyDescent="0.25">
      <c r="A4133">
        <v>7015073</v>
      </c>
      <c r="B4133" t="s">
        <v>4194</v>
      </c>
      <c r="C4133" t="str">
        <f>""</f>
        <v/>
      </c>
      <c r="D4133" t="str">
        <f>"9783110719031"</f>
        <v>9783110719031</v>
      </c>
      <c r="E4133" t="s">
        <v>73</v>
      </c>
      <c r="F4133" s="1">
        <v>44144</v>
      </c>
    </row>
    <row r="4134" spans="1:6" x14ac:dyDescent="0.25">
      <c r="A4134">
        <v>7015074</v>
      </c>
      <c r="B4134" t="s">
        <v>4195</v>
      </c>
      <c r="C4134" t="str">
        <f>""</f>
        <v/>
      </c>
      <c r="D4134" t="str">
        <f>"9783110624519"</f>
        <v>9783110624519</v>
      </c>
      <c r="E4134" t="s">
        <v>73</v>
      </c>
      <c r="F4134" s="1">
        <v>44116</v>
      </c>
    </row>
    <row r="4135" spans="1:6" x14ac:dyDescent="0.25">
      <c r="A4135">
        <v>7015075</v>
      </c>
      <c r="B4135" t="s">
        <v>4196</v>
      </c>
      <c r="C4135" t="str">
        <f>""</f>
        <v/>
      </c>
      <c r="D4135" t="str">
        <f>"9783110701234"</f>
        <v>9783110701234</v>
      </c>
      <c r="E4135" t="s">
        <v>73</v>
      </c>
      <c r="F4135" s="1">
        <v>44181</v>
      </c>
    </row>
    <row r="4136" spans="1:6" x14ac:dyDescent="0.25">
      <c r="A4136">
        <v>7015076</v>
      </c>
      <c r="B4136" t="s">
        <v>4197</v>
      </c>
      <c r="C4136" t="str">
        <f>""</f>
        <v/>
      </c>
      <c r="D4136" t="str">
        <f>"9783110691597"</f>
        <v>9783110691597</v>
      </c>
      <c r="E4136" t="s">
        <v>73</v>
      </c>
      <c r="F4136" s="1">
        <v>44473</v>
      </c>
    </row>
    <row r="4137" spans="1:6" x14ac:dyDescent="0.25">
      <c r="A4137">
        <v>7015077</v>
      </c>
      <c r="B4137" t="s">
        <v>4198</v>
      </c>
      <c r="C4137" t="str">
        <f>"9783110558838"</f>
        <v>9783110558838</v>
      </c>
      <c r="D4137" t="str">
        <f>"9783110561371"</f>
        <v>9783110561371</v>
      </c>
      <c r="E4137" t="s">
        <v>73</v>
      </c>
      <c r="F4137" s="1">
        <v>43304</v>
      </c>
    </row>
    <row r="4138" spans="1:6" x14ac:dyDescent="0.25">
      <c r="A4138">
        <v>7015078</v>
      </c>
      <c r="B4138" t="s">
        <v>4199</v>
      </c>
      <c r="C4138" t="str">
        <f>""</f>
        <v/>
      </c>
      <c r="D4138" t="str">
        <f>"9783110653663"</f>
        <v>9783110653663</v>
      </c>
      <c r="E4138" t="s">
        <v>73</v>
      </c>
      <c r="F4138" s="1">
        <v>43990</v>
      </c>
    </row>
    <row r="4139" spans="1:6" x14ac:dyDescent="0.25">
      <c r="A4139">
        <v>7015079</v>
      </c>
      <c r="B4139" t="s">
        <v>4200</v>
      </c>
      <c r="C4139" t="str">
        <f>""</f>
        <v/>
      </c>
      <c r="D4139" t="str">
        <f>"9783110681710"</f>
        <v>9783110681710</v>
      </c>
      <c r="E4139" t="s">
        <v>73</v>
      </c>
      <c r="F4139" s="1">
        <v>44508</v>
      </c>
    </row>
    <row r="4140" spans="1:6" x14ac:dyDescent="0.25">
      <c r="A4140">
        <v>7015080</v>
      </c>
      <c r="B4140" t="s">
        <v>4201</v>
      </c>
      <c r="C4140" t="str">
        <f>""</f>
        <v/>
      </c>
      <c r="D4140" t="str">
        <f>"9783111580494"</f>
        <v>9783111580494</v>
      </c>
      <c r="E4140" t="s">
        <v>73</v>
      </c>
      <c r="F4140" t="s">
        <v>4039</v>
      </c>
    </row>
    <row r="4141" spans="1:6" x14ac:dyDescent="0.25">
      <c r="A4141">
        <v>7015081</v>
      </c>
      <c r="B4141" t="s">
        <v>4202</v>
      </c>
      <c r="C4141" t="str">
        <f>""</f>
        <v/>
      </c>
      <c r="D4141" t="str">
        <f>"9783110725049"</f>
        <v>9783110725049</v>
      </c>
      <c r="E4141" t="s">
        <v>73</v>
      </c>
      <c r="F4141" s="1">
        <v>44368</v>
      </c>
    </row>
    <row r="4142" spans="1:6" x14ac:dyDescent="0.25">
      <c r="A4142">
        <v>7015082</v>
      </c>
      <c r="B4142" t="s">
        <v>4203</v>
      </c>
      <c r="C4142" t="str">
        <f>"9783486562590"</f>
        <v>9783486562590</v>
      </c>
      <c r="D4142" t="str">
        <f>"9783486594379"</f>
        <v>9783486594379</v>
      </c>
      <c r="E4142" t="s">
        <v>73</v>
      </c>
      <c r="F4142" s="1">
        <v>35956</v>
      </c>
    </row>
    <row r="4143" spans="1:6" x14ac:dyDescent="0.25">
      <c r="A4143">
        <v>7015083</v>
      </c>
      <c r="B4143" t="s">
        <v>4204</v>
      </c>
      <c r="C4143" t="str">
        <f>"9783110617573"</f>
        <v>9783110617573</v>
      </c>
      <c r="D4143" t="str">
        <f>"9783110617580"</f>
        <v>9783110617580</v>
      </c>
      <c r="E4143" t="s">
        <v>73</v>
      </c>
      <c r="F4143" s="1">
        <v>43409</v>
      </c>
    </row>
    <row r="4144" spans="1:6" x14ac:dyDescent="0.25">
      <c r="A4144">
        <v>7015084</v>
      </c>
      <c r="B4144" t="s">
        <v>4205</v>
      </c>
      <c r="C4144" t="str">
        <f>""</f>
        <v/>
      </c>
      <c r="D4144" t="str">
        <f>"9783110709834"</f>
        <v>9783110709834</v>
      </c>
      <c r="E4144" t="s">
        <v>73</v>
      </c>
      <c r="F4144" s="1">
        <v>44249</v>
      </c>
    </row>
    <row r="4145" spans="1:6" x14ac:dyDescent="0.25">
      <c r="A4145">
        <v>7015085</v>
      </c>
      <c r="B4145" t="s">
        <v>4206</v>
      </c>
      <c r="C4145" t="str">
        <f>""</f>
        <v/>
      </c>
      <c r="D4145" t="str">
        <f>"9783110727630"</f>
        <v>9783110727630</v>
      </c>
      <c r="E4145" t="s">
        <v>73</v>
      </c>
      <c r="F4145" s="1">
        <v>44292</v>
      </c>
    </row>
    <row r="4146" spans="1:6" x14ac:dyDescent="0.25">
      <c r="A4146">
        <v>7015086</v>
      </c>
      <c r="B4146" t="s">
        <v>4207</v>
      </c>
      <c r="C4146" t="str">
        <f>""</f>
        <v/>
      </c>
      <c r="D4146" t="str">
        <f>"9783486726220"</f>
        <v>9783486726220</v>
      </c>
      <c r="E4146" t="s">
        <v>73</v>
      </c>
      <c r="F4146" s="1">
        <v>4750</v>
      </c>
    </row>
    <row r="4147" spans="1:6" x14ac:dyDescent="0.25">
      <c r="A4147">
        <v>7015087</v>
      </c>
      <c r="B4147" t="s">
        <v>4208</v>
      </c>
      <c r="C4147" t="str">
        <f>""</f>
        <v/>
      </c>
      <c r="D4147" t="str">
        <f>"9783110642032"</f>
        <v>9783110642032</v>
      </c>
      <c r="E4147" t="s">
        <v>73</v>
      </c>
      <c r="F4147" s="1">
        <v>44214</v>
      </c>
    </row>
    <row r="4148" spans="1:6" x14ac:dyDescent="0.25">
      <c r="A4148">
        <v>7015088</v>
      </c>
      <c r="B4148" t="s">
        <v>4209</v>
      </c>
      <c r="C4148" t="str">
        <f>""</f>
        <v/>
      </c>
      <c r="D4148" t="str">
        <f>"9783110693447"</f>
        <v>9783110693447</v>
      </c>
      <c r="E4148" t="s">
        <v>73</v>
      </c>
      <c r="F4148" s="1">
        <v>44095</v>
      </c>
    </row>
    <row r="4149" spans="1:6" x14ac:dyDescent="0.25">
      <c r="A4149">
        <v>7015089</v>
      </c>
      <c r="B4149" t="s">
        <v>4210</v>
      </c>
      <c r="C4149" t="str">
        <f>""</f>
        <v/>
      </c>
      <c r="D4149" t="str">
        <f>"9783486777451"</f>
        <v>9783486777451</v>
      </c>
      <c r="E4149" t="s">
        <v>73</v>
      </c>
      <c r="F4149" s="1">
        <v>17989</v>
      </c>
    </row>
    <row r="4150" spans="1:6" x14ac:dyDescent="0.25">
      <c r="A4150">
        <v>7015090</v>
      </c>
      <c r="B4150" t="s">
        <v>4211</v>
      </c>
      <c r="C4150" t="str">
        <f>""</f>
        <v/>
      </c>
      <c r="D4150" t="str">
        <f>"9783486776270"</f>
        <v>9783486776270</v>
      </c>
      <c r="E4150" t="s">
        <v>73</v>
      </c>
      <c r="F4150" s="1">
        <v>17533</v>
      </c>
    </row>
    <row r="4151" spans="1:6" x14ac:dyDescent="0.25">
      <c r="A4151">
        <v>7015091</v>
      </c>
      <c r="B4151" t="s">
        <v>4212</v>
      </c>
      <c r="C4151" t="str">
        <f>""</f>
        <v/>
      </c>
      <c r="D4151" t="str">
        <f>"9783110727555"</f>
        <v>9783110727555</v>
      </c>
      <c r="E4151" t="s">
        <v>73</v>
      </c>
      <c r="F4151" s="1">
        <v>44355</v>
      </c>
    </row>
    <row r="4152" spans="1:6" x14ac:dyDescent="0.25">
      <c r="A4152">
        <v>7015092</v>
      </c>
      <c r="B4152" t="s">
        <v>4213</v>
      </c>
      <c r="C4152" t="str">
        <f>""</f>
        <v/>
      </c>
      <c r="D4152" t="str">
        <f>"9783111534589"</f>
        <v>9783111534589</v>
      </c>
      <c r="E4152" t="s">
        <v>73</v>
      </c>
      <c r="F4152" s="1">
        <v>6301</v>
      </c>
    </row>
    <row r="4153" spans="1:6" x14ac:dyDescent="0.25">
      <c r="A4153">
        <v>7015093</v>
      </c>
      <c r="B4153" t="s">
        <v>4214</v>
      </c>
      <c r="C4153" t="str">
        <f>""</f>
        <v/>
      </c>
      <c r="D4153" t="str">
        <f>"9783110671483"</f>
        <v>9783110671483</v>
      </c>
      <c r="E4153" t="s">
        <v>73</v>
      </c>
      <c r="F4153" s="1">
        <v>44396</v>
      </c>
    </row>
    <row r="4154" spans="1:6" x14ac:dyDescent="0.25">
      <c r="A4154">
        <v>7015094</v>
      </c>
      <c r="B4154" t="s">
        <v>4215</v>
      </c>
      <c r="C4154" t="str">
        <f>""</f>
        <v/>
      </c>
      <c r="D4154" t="str">
        <f>"9783111342542"</f>
        <v>9783111342542</v>
      </c>
      <c r="E4154" t="s">
        <v>53</v>
      </c>
      <c r="F4154" s="1">
        <v>26390</v>
      </c>
    </row>
    <row r="4155" spans="1:6" x14ac:dyDescent="0.25">
      <c r="A4155">
        <v>7015095</v>
      </c>
      <c r="B4155" t="s">
        <v>4216</v>
      </c>
      <c r="C4155" t="str">
        <f>""</f>
        <v/>
      </c>
      <c r="D4155" t="str">
        <f>"9783486708608"</f>
        <v>9783486708608</v>
      </c>
      <c r="E4155" t="s">
        <v>73</v>
      </c>
      <c r="F4155" s="1">
        <v>31285</v>
      </c>
    </row>
    <row r="4156" spans="1:6" x14ac:dyDescent="0.25">
      <c r="A4156">
        <v>7015096</v>
      </c>
      <c r="B4156" t="s">
        <v>4217</v>
      </c>
      <c r="C4156" t="str">
        <f>""</f>
        <v/>
      </c>
      <c r="D4156" t="str">
        <f>"9783110753301"</f>
        <v>9783110753301</v>
      </c>
      <c r="E4156" t="s">
        <v>73</v>
      </c>
      <c r="F4156" s="1">
        <v>44494</v>
      </c>
    </row>
    <row r="4157" spans="1:6" x14ac:dyDescent="0.25">
      <c r="A4157">
        <v>7015097</v>
      </c>
      <c r="B4157" t="s">
        <v>4218</v>
      </c>
      <c r="C4157" t="str">
        <f>""</f>
        <v/>
      </c>
      <c r="D4157" t="str">
        <f>"9783486740813"</f>
        <v>9783486740813</v>
      </c>
      <c r="E4157" t="s">
        <v>73</v>
      </c>
      <c r="F4157" s="1">
        <v>43913</v>
      </c>
    </row>
    <row r="4158" spans="1:6" x14ac:dyDescent="0.25">
      <c r="A4158">
        <v>7015098</v>
      </c>
      <c r="B4158" t="s">
        <v>4219</v>
      </c>
      <c r="C4158" t="str">
        <f>"9783110518085"</f>
        <v>9783110518085</v>
      </c>
      <c r="D4158" t="str">
        <f>"9783110520620"</f>
        <v>9783110520620</v>
      </c>
      <c r="E4158" t="s">
        <v>73</v>
      </c>
      <c r="F4158" s="1">
        <v>43990</v>
      </c>
    </row>
    <row r="4159" spans="1:6" x14ac:dyDescent="0.25">
      <c r="A4159">
        <v>7015099</v>
      </c>
      <c r="B4159" t="s">
        <v>4220</v>
      </c>
      <c r="C4159" t="str">
        <f>""</f>
        <v/>
      </c>
      <c r="D4159" t="str">
        <f>"9783111347455"</f>
        <v>9783111347455</v>
      </c>
      <c r="E4159" t="s">
        <v>73</v>
      </c>
      <c r="F4159" s="1">
        <v>23468</v>
      </c>
    </row>
    <row r="4160" spans="1:6" x14ac:dyDescent="0.25">
      <c r="A4160">
        <v>7015100</v>
      </c>
      <c r="B4160" t="s">
        <v>4221</v>
      </c>
      <c r="C4160" t="str">
        <f>""</f>
        <v/>
      </c>
      <c r="D4160" t="str">
        <f>"9783110731347"</f>
        <v>9783110731347</v>
      </c>
      <c r="E4160" t="s">
        <v>73</v>
      </c>
      <c r="F4160" s="1">
        <v>44522</v>
      </c>
    </row>
    <row r="4161" spans="1:6" x14ac:dyDescent="0.25">
      <c r="A4161">
        <v>7015101</v>
      </c>
      <c r="B4161" t="s">
        <v>4222</v>
      </c>
      <c r="C4161" t="str">
        <f>""</f>
        <v/>
      </c>
      <c r="D4161" t="str">
        <f>"9783111447339"</f>
        <v>9783111447339</v>
      </c>
      <c r="E4161" t="s">
        <v>73</v>
      </c>
      <c r="F4161" t="s">
        <v>4223</v>
      </c>
    </row>
    <row r="4162" spans="1:6" x14ac:dyDescent="0.25">
      <c r="A4162">
        <v>7015102</v>
      </c>
      <c r="B4162" t="s">
        <v>4224</v>
      </c>
      <c r="C4162" t="str">
        <f>""</f>
        <v/>
      </c>
      <c r="D4162" t="str">
        <f>"9783110733549"</f>
        <v>9783110733549</v>
      </c>
      <c r="E4162" t="s">
        <v>73</v>
      </c>
      <c r="F4162" s="1">
        <v>44536</v>
      </c>
    </row>
    <row r="4163" spans="1:6" x14ac:dyDescent="0.25">
      <c r="A4163">
        <v>7015103</v>
      </c>
      <c r="B4163" t="s">
        <v>4225</v>
      </c>
      <c r="C4163" t="str">
        <f>""</f>
        <v/>
      </c>
      <c r="D4163" t="str">
        <f>"9783035623802"</f>
        <v>9783035623802</v>
      </c>
      <c r="E4163" t="s">
        <v>73</v>
      </c>
      <c r="F4163" s="1">
        <v>44550</v>
      </c>
    </row>
    <row r="4164" spans="1:6" x14ac:dyDescent="0.25">
      <c r="A4164">
        <v>7015104</v>
      </c>
      <c r="B4164" t="s">
        <v>4226</v>
      </c>
      <c r="C4164" t="str">
        <f>"9783110573657"</f>
        <v>9783110573657</v>
      </c>
      <c r="D4164" t="str">
        <f>"9783110573664"</f>
        <v>9783110573664</v>
      </c>
      <c r="E4164" t="s">
        <v>73</v>
      </c>
      <c r="F4164" s="1">
        <v>43353</v>
      </c>
    </row>
    <row r="4165" spans="1:6" x14ac:dyDescent="0.25">
      <c r="A4165">
        <v>7015105</v>
      </c>
      <c r="B4165" t="s">
        <v>4227</v>
      </c>
      <c r="C4165" t="str">
        <f>""</f>
        <v/>
      </c>
      <c r="D4165" t="str">
        <f>"9783486733631"</f>
        <v>9783486733631</v>
      </c>
      <c r="E4165" t="s">
        <v>73</v>
      </c>
      <c r="F4165" s="1">
        <v>1187</v>
      </c>
    </row>
    <row r="4166" spans="1:6" x14ac:dyDescent="0.25">
      <c r="A4166">
        <v>7015106</v>
      </c>
      <c r="B4166" t="s">
        <v>4228</v>
      </c>
      <c r="C4166" t="str">
        <f>"9783110596649"</f>
        <v>9783110596649</v>
      </c>
      <c r="D4166" t="str">
        <f>"9783110596755"</f>
        <v>9783110596755</v>
      </c>
      <c r="E4166" t="s">
        <v>73</v>
      </c>
      <c r="F4166" s="1">
        <v>43395</v>
      </c>
    </row>
    <row r="4167" spans="1:6" x14ac:dyDescent="0.25">
      <c r="A4167">
        <v>7015107</v>
      </c>
      <c r="B4167" t="s">
        <v>4229</v>
      </c>
      <c r="C4167" t="str">
        <f>""</f>
        <v/>
      </c>
      <c r="D4167" t="str">
        <f>"9783110684834"</f>
        <v>9783110684834</v>
      </c>
      <c r="E4167" t="s">
        <v>73</v>
      </c>
      <c r="F4167" s="1">
        <v>44494</v>
      </c>
    </row>
    <row r="4168" spans="1:6" x14ac:dyDescent="0.25">
      <c r="A4168">
        <v>7015108</v>
      </c>
      <c r="B4168" t="s">
        <v>4230</v>
      </c>
      <c r="C4168" t="str">
        <f>""</f>
        <v/>
      </c>
      <c r="D4168" t="str">
        <f>"9783110664959"</f>
        <v>9783110664959</v>
      </c>
      <c r="E4168" t="s">
        <v>73</v>
      </c>
      <c r="F4168" s="1">
        <v>44028</v>
      </c>
    </row>
    <row r="4169" spans="1:6" x14ac:dyDescent="0.25">
      <c r="A4169">
        <v>7015109</v>
      </c>
      <c r="B4169" t="s">
        <v>4231</v>
      </c>
      <c r="C4169" t="str">
        <f>"9783110584936"</f>
        <v>9783110584936</v>
      </c>
      <c r="D4169" t="str">
        <f>"9783110587524"</f>
        <v>9783110587524</v>
      </c>
      <c r="E4169" t="s">
        <v>73</v>
      </c>
      <c r="F4169" s="1">
        <v>43262</v>
      </c>
    </row>
    <row r="4170" spans="1:6" x14ac:dyDescent="0.25">
      <c r="A4170">
        <v>7015110</v>
      </c>
      <c r="B4170" t="s">
        <v>4232</v>
      </c>
      <c r="C4170" t="str">
        <f>""</f>
        <v/>
      </c>
      <c r="D4170" t="str">
        <f>"9783111451305"</f>
        <v>9783111451305</v>
      </c>
      <c r="E4170" t="s">
        <v>73</v>
      </c>
      <c r="F4170" t="s">
        <v>4233</v>
      </c>
    </row>
    <row r="4171" spans="1:6" x14ac:dyDescent="0.25">
      <c r="A4171">
        <v>7015111</v>
      </c>
      <c r="B4171" t="s">
        <v>4234</v>
      </c>
      <c r="C4171" t="str">
        <f>"9783110551822"</f>
        <v>9783110551822</v>
      </c>
      <c r="D4171" t="str">
        <f>"9783110553796"</f>
        <v>9783110553796</v>
      </c>
      <c r="E4171" t="s">
        <v>73</v>
      </c>
      <c r="F4171" s="1">
        <v>43262</v>
      </c>
    </row>
    <row r="4172" spans="1:6" x14ac:dyDescent="0.25">
      <c r="A4172">
        <v>7015112</v>
      </c>
      <c r="B4172" t="s">
        <v>4235</v>
      </c>
      <c r="C4172" t="str">
        <f>""</f>
        <v/>
      </c>
      <c r="D4172" t="str">
        <f>"9783111581958"</f>
        <v>9783111581958</v>
      </c>
      <c r="E4172" t="s">
        <v>73</v>
      </c>
      <c r="F4172" s="1">
        <v>26390</v>
      </c>
    </row>
    <row r="4173" spans="1:6" x14ac:dyDescent="0.25">
      <c r="A4173">
        <v>7015113</v>
      </c>
      <c r="B4173" t="s">
        <v>4236</v>
      </c>
      <c r="C4173" t="str">
        <f>""</f>
        <v/>
      </c>
      <c r="D4173" t="str">
        <f>"9783110661439"</f>
        <v>9783110661439</v>
      </c>
      <c r="E4173" t="s">
        <v>73</v>
      </c>
      <c r="F4173" s="1">
        <v>44459</v>
      </c>
    </row>
    <row r="4174" spans="1:6" x14ac:dyDescent="0.25">
      <c r="A4174">
        <v>7015114</v>
      </c>
      <c r="B4174" t="s">
        <v>4237</v>
      </c>
      <c r="C4174" t="str">
        <f>""</f>
        <v/>
      </c>
      <c r="D4174" t="str">
        <f>"9783111483801"</f>
        <v>9783111483801</v>
      </c>
      <c r="E4174" t="s">
        <v>73</v>
      </c>
      <c r="F4174" s="1">
        <v>4475</v>
      </c>
    </row>
    <row r="4175" spans="1:6" x14ac:dyDescent="0.25">
      <c r="A4175">
        <v>7015115</v>
      </c>
      <c r="B4175" t="s">
        <v>4238</v>
      </c>
      <c r="C4175" t="str">
        <f>""</f>
        <v/>
      </c>
      <c r="D4175" t="str">
        <f>"9783110729603"</f>
        <v>9783110729603</v>
      </c>
      <c r="E4175" t="s">
        <v>73</v>
      </c>
      <c r="F4175" s="1">
        <v>44410</v>
      </c>
    </row>
    <row r="4176" spans="1:6" x14ac:dyDescent="0.25">
      <c r="A4176">
        <v>7015116</v>
      </c>
      <c r="B4176" t="s">
        <v>4239</v>
      </c>
      <c r="C4176" t="str">
        <f>""</f>
        <v/>
      </c>
      <c r="D4176" t="str">
        <f>"9781501512971"</f>
        <v>9781501512971</v>
      </c>
      <c r="E4176" t="s">
        <v>53</v>
      </c>
      <c r="F4176" s="1">
        <v>44053</v>
      </c>
    </row>
    <row r="4177" spans="1:6" x14ac:dyDescent="0.25">
      <c r="A4177">
        <v>7015117</v>
      </c>
      <c r="B4177" t="s">
        <v>4240</v>
      </c>
      <c r="C4177" t="str">
        <f>""</f>
        <v/>
      </c>
      <c r="D4177" t="str">
        <f>"9783110623543"</f>
        <v>9783110623543</v>
      </c>
      <c r="E4177" t="s">
        <v>73</v>
      </c>
      <c r="F4177" s="1">
        <v>44355</v>
      </c>
    </row>
    <row r="4178" spans="1:6" x14ac:dyDescent="0.25">
      <c r="A4178">
        <v>7015118</v>
      </c>
      <c r="B4178" t="s">
        <v>4241</v>
      </c>
      <c r="C4178" t="str">
        <f>""</f>
        <v/>
      </c>
      <c r="D4178" t="str">
        <f>"9783486743753"</f>
        <v>9783486743753</v>
      </c>
      <c r="E4178" t="s">
        <v>73</v>
      </c>
      <c r="F4178" s="1">
        <v>5570</v>
      </c>
    </row>
    <row r="4179" spans="1:6" x14ac:dyDescent="0.25">
      <c r="A4179">
        <v>7015119</v>
      </c>
      <c r="B4179" t="s">
        <v>4242</v>
      </c>
      <c r="C4179" t="str">
        <f>""</f>
        <v/>
      </c>
      <c r="D4179" t="str">
        <f>"9783110622768"</f>
        <v>9783110622768</v>
      </c>
      <c r="E4179" t="s">
        <v>73</v>
      </c>
      <c r="F4179" s="1">
        <v>38040</v>
      </c>
    </row>
    <row r="4180" spans="1:6" x14ac:dyDescent="0.25">
      <c r="A4180">
        <v>7015120</v>
      </c>
      <c r="B4180" t="s">
        <v>4243</v>
      </c>
      <c r="C4180" t="str">
        <f>""</f>
        <v/>
      </c>
      <c r="D4180" t="str">
        <f>"9783110726268"</f>
        <v>9783110726268</v>
      </c>
      <c r="E4180" t="s">
        <v>73</v>
      </c>
      <c r="F4180" s="1">
        <v>44305</v>
      </c>
    </row>
    <row r="4181" spans="1:6" x14ac:dyDescent="0.25">
      <c r="A4181">
        <v>7015121</v>
      </c>
      <c r="B4181" t="s">
        <v>4244</v>
      </c>
      <c r="C4181" t="str">
        <f>""</f>
        <v/>
      </c>
      <c r="D4181" t="str">
        <f>"9783110683868"</f>
        <v>9783110683868</v>
      </c>
      <c r="E4181" t="s">
        <v>73</v>
      </c>
      <c r="F4181" s="1">
        <v>44536</v>
      </c>
    </row>
    <row r="4182" spans="1:6" x14ac:dyDescent="0.25">
      <c r="A4182">
        <v>7015122</v>
      </c>
      <c r="B4182" t="s">
        <v>4245</v>
      </c>
      <c r="C4182" t="str">
        <f>""</f>
        <v/>
      </c>
      <c r="D4182" t="str">
        <f>"9783111505695"</f>
        <v>9783111505695</v>
      </c>
      <c r="E4182" t="s">
        <v>73</v>
      </c>
      <c r="F4182" t="s">
        <v>4246</v>
      </c>
    </row>
    <row r="4183" spans="1:6" x14ac:dyDescent="0.25">
      <c r="A4183">
        <v>7015123</v>
      </c>
      <c r="B4183" t="s">
        <v>4247</v>
      </c>
      <c r="C4183" t="str">
        <f>""</f>
        <v/>
      </c>
      <c r="D4183" t="str">
        <f>"9783486730111"</f>
        <v>9783486730111</v>
      </c>
      <c r="E4183" t="s">
        <v>73</v>
      </c>
      <c r="F4183" s="1">
        <v>43308</v>
      </c>
    </row>
    <row r="4184" spans="1:6" x14ac:dyDescent="0.25">
      <c r="A4184">
        <v>7015124</v>
      </c>
      <c r="B4184" t="s">
        <v>4248</v>
      </c>
      <c r="C4184" t="str">
        <f>"9783486560831"</f>
        <v>9783486560831</v>
      </c>
      <c r="D4184" t="str">
        <f>"9783486595789"</f>
        <v>9783486595789</v>
      </c>
      <c r="E4184" t="s">
        <v>73</v>
      </c>
      <c r="F4184" s="1">
        <v>35102</v>
      </c>
    </row>
    <row r="4185" spans="1:6" x14ac:dyDescent="0.25">
      <c r="A4185">
        <v>7015125</v>
      </c>
      <c r="B4185" t="s">
        <v>4249</v>
      </c>
      <c r="C4185" t="str">
        <f>""</f>
        <v/>
      </c>
      <c r="D4185" t="str">
        <f>"9783035623086"</f>
        <v>9783035623086</v>
      </c>
      <c r="E4185" t="s">
        <v>73</v>
      </c>
      <c r="F4185" s="1">
        <v>44316</v>
      </c>
    </row>
    <row r="4186" spans="1:6" x14ac:dyDescent="0.25">
      <c r="A4186">
        <v>7015126</v>
      </c>
      <c r="B4186" t="s">
        <v>4250</v>
      </c>
      <c r="C4186" t="str">
        <f>""</f>
        <v/>
      </c>
      <c r="D4186" t="str">
        <f>"9783110729115"</f>
        <v>9783110729115</v>
      </c>
      <c r="E4186" t="s">
        <v>73</v>
      </c>
      <c r="F4186" s="1">
        <v>44292</v>
      </c>
    </row>
    <row r="4187" spans="1:6" x14ac:dyDescent="0.25">
      <c r="A4187">
        <v>7015127</v>
      </c>
      <c r="B4187" t="s">
        <v>4251</v>
      </c>
      <c r="C4187" t="str">
        <f>""</f>
        <v/>
      </c>
      <c r="D4187" t="str">
        <f>"9783110727838"</f>
        <v>9783110727838</v>
      </c>
      <c r="E4187" t="s">
        <v>73</v>
      </c>
      <c r="F4187" s="1">
        <v>44522</v>
      </c>
    </row>
    <row r="4188" spans="1:6" x14ac:dyDescent="0.25">
      <c r="A4188">
        <v>7015128</v>
      </c>
      <c r="B4188" t="s">
        <v>4252</v>
      </c>
      <c r="C4188" t="str">
        <f>""</f>
        <v/>
      </c>
      <c r="D4188" t="str">
        <f>"9783111373027"</f>
        <v>9783111373027</v>
      </c>
      <c r="E4188" t="s">
        <v>73</v>
      </c>
      <c r="F4188" s="1">
        <v>43466</v>
      </c>
    </row>
    <row r="4189" spans="1:6" x14ac:dyDescent="0.25">
      <c r="A4189">
        <v>7015129</v>
      </c>
      <c r="B4189" t="s">
        <v>4253</v>
      </c>
      <c r="C4189" t="str">
        <f>"9783110595277"</f>
        <v>9783110595277</v>
      </c>
      <c r="D4189" t="str">
        <f>"9783110597745"</f>
        <v>9783110597745</v>
      </c>
      <c r="E4189" t="s">
        <v>73</v>
      </c>
      <c r="F4189" s="1">
        <v>44032</v>
      </c>
    </row>
    <row r="4190" spans="1:6" x14ac:dyDescent="0.25">
      <c r="A4190">
        <v>7015130</v>
      </c>
      <c r="B4190" t="s">
        <v>4254</v>
      </c>
      <c r="C4190" t="str">
        <f>""</f>
        <v/>
      </c>
      <c r="D4190" t="str">
        <f>"9783111667836"</f>
        <v>9783111667836</v>
      </c>
      <c r="E4190" t="s">
        <v>73</v>
      </c>
      <c r="F4190" s="1">
        <v>20546</v>
      </c>
    </row>
    <row r="4191" spans="1:6" x14ac:dyDescent="0.25">
      <c r="A4191">
        <v>7015131</v>
      </c>
      <c r="B4191" t="s">
        <v>4255</v>
      </c>
      <c r="C4191" t="str">
        <f>""</f>
        <v/>
      </c>
      <c r="D4191" t="str">
        <f>"9783110725018"</f>
        <v>9783110725018</v>
      </c>
      <c r="E4191" t="s">
        <v>73</v>
      </c>
      <c r="F4191" s="1">
        <v>44508</v>
      </c>
    </row>
    <row r="4192" spans="1:6" x14ac:dyDescent="0.25">
      <c r="A4192">
        <v>7015133</v>
      </c>
      <c r="B4192" t="s">
        <v>4256</v>
      </c>
      <c r="C4192" t="str">
        <f>""</f>
        <v/>
      </c>
      <c r="D4192" t="str">
        <f>"9783110717884"</f>
        <v>9783110717884</v>
      </c>
      <c r="E4192" t="s">
        <v>73</v>
      </c>
      <c r="F4192" s="1">
        <v>44172</v>
      </c>
    </row>
    <row r="4193" spans="1:6" x14ac:dyDescent="0.25">
      <c r="A4193">
        <v>7015134</v>
      </c>
      <c r="B4193" t="s">
        <v>4257</v>
      </c>
      <c r="C4193" t="str">
        <f>"9783110585384"</f>
        <v>9783110585384</v>
      </c>
      <c r="D4193" t="str">
        <f>"9783110587678"</f>
        <v>9783110587678</v>
      </c>
      <c r="E4193" t="s">
        <v>73</v>
      </c>
      <c r="F4193" s="1">
        <v>43437</v>
      </c>
    </row>
    <row r="4194" spans="1:6" x14ac:dyDescent="0.25">
      <c r="A4194">
        <v>7015135</v>
      </c>
      <c r="B4194" t="s">
        <v>4258</v>
      </c>
      <c r="C4194" t="str">
        <f>""</f>
        <v/>
      </c>
      <c r="D4194" t="str">
        <f>"9783110701364"</f>
        <v>9783110701364</v>
      </c>
      <c r="E4194" t="s">
        <v>73</v>
      </c>
      <c r="F4194" s="1">
        <v>44396</v>
      </c>
    </row>
    <row r="4195" spans="1:6" x14ac:dyDescent="0.25">
      <c r="A4195">
        <v>7015136</v>
      </c>
      <c r="B4195" t="s">
        <v>4259</v>
      </c>
      <c r="C4195" t="str">
        <f>"9783486543513"</f>
        <v>9783486543513</v>
      </c>
      <c r="D4195" t="str">
        <f>"9783486595536"</f>
        <v>9783486595536</v>
      </c>
      <c r="E4195" t="s">
        <v>73</v>
      </c>
      <c r="F4195" s="1">
        <v>32443</v>
      </c>
    </row>
    <row r="4196" spans="1:6" x14ac:dyDescent="0.25">
      <c r="A4196">
        <v>7015137</v>
      </c>
      <c r="B4196" t="s">
        <v>4260</v>
      </c>
      <c r="C4196" t="str">
        <f>""</f>
        <v/>
      </c>
      <c r="D4196" t="str">
        <f>"9783110679410"</f>
        <v>9783110679410</v>
      </c>
      <c r="E4196" t="s">
        <v>73</v>
      </c>
      <c r="F4196" s="1">
        <v>44522</v>
      </c>
    </row>
    <row r="4197" spans="1:6" x14ac:dyDescent="0.25">
      <c r="A4197">
        <v>7015138</v>
      </c>
      <c r="B4197" t="s">
        <v>4261</v>
      </c>
      <c r="C4197" t="str">
        <f>""</f>
        <v/>
      </c>
      <c r="D4197" t="str">
        <f>"9783110732764"</f>
        <v>9783110732764</v>
      </c>
      <c r="E4197" t="s">
        <v>73</v>
      </c>
      <c r="F4197" s="1">
        <v>44459</v>
      </c>
    </row>
    <row r="4198" spans="1:6" x14ac:dyDescent="0.25">
      <c r="A4198">
        <v>7015139</v>
      </c>
      <c r="B4198" t="s">
        <v>4262</v>
      </c>
      <c r="C4198" t="str">
        <f>""</f>
        <v/>
      </c>
      <c r="D4198" t="str">
        <f>"9783110700145"</f>
        <v>9783110700145</v>
      </c>
      <c r="E4198" t="s">
        <v>73</v>
      </c>
      <c r="F4198" s="1">
        <v>44277</v>
      </c>
    </row>
    <row r="4199" spans="1:6" x14ac:dyDescent="0.25">
      <c r="A4199">
        <v>7015140</v>
      </c>
      <c r="B4199" t="s">
        <v>4263</v>
      </c>
      <c r="C4199" t="str">
        <f>""</f>
        <v/>
      </c>
      <c r="D4199" t="str">
        <f>"9783110622485"</f>
        <v>9783110622485</v>
      </c>
      <c r="E4199" t="s">
        <v>73</v>
      </c>
      <c r="F4199" s="1">
        <v>43494</v>
      </c>
    </row>
    <row r="4200" spans="1:6" x14ac:dyDescent="0.25">
      <c r="A4200">
        <v>7015141</v>
      </c>
      <c r="B4200" t="s">
        <v>4264</v>
      </c>
      <c r="C4200" t="str">
        <f>""</f>
        <v/>
      </c>
      <c r="D4200" t="str">
        <f>"9783111727431"</f>
        <v>9783111727431</v>
      </c>
      <c r="E4200" t="s">
        <v>53</v>
      </c>
      <c r="F4200" s="1">
        <v>27120</v>
      </c>
    </row>
    <row r="4201" spans="1:6" x14ac:dyDescent="0.25">
      <c r="A4201">
        <v>7015142</v>
      </c>
      <c r="B4201" t="s">
        <v>4265</v>
      </c>
      <c r="C4201" t="str">
        <f>""</f>
        <v/>
      </c>
      <c r="D4201" t="str">
        <f>"9783486750836"</f>
        <v>9783486750836</v>
      </c>
      <c r="E4201" t="s">
        <v>73</v>
      </c>
      <c r="F4201" s="1">
        <v>9133</v>
      </c>
    </row>
    <row r="4202" spans="1:6" x14ac:dyDescent="0.25">
      <c r="A4202">
        <v>7015143</v>
      </c>
      <c r="B4202" t="s">
        <v>4266</v>
      </c>
      <c r="C4202" t="str">
        <f>""</f>
        <v/>
      </c>
      <c r="D4202" t="str">
        <f>"9783110622560"</f>
        <v>9783110622560</v>
      </c>
      <c r="E4202" t="s">
        <v>73</v>
      </c>
      <c r="F4202" s="1">
        <v>43494</v>
      </c>
    </row>
    <row r="4203" spans="1:6" x14ac:dyDescent="0.25">
      <c r="A4203">
        <v>7015144</v>
      </c>
      <c r="B4203" t="s">
        <v>4267</v>
      </c>
      <c r="C4203" t="str">
        <f>""</f>
        <v/>
      </c>
      <c r="D4203" t="str">
        <f>"9783486741766"</f>
        <v>9783486741766</v>
      </c>
      <c r="E4203" t="s">
        <v>73</v>
      </c>
      <c r="F4203" s="1">
        <v>4750</v>
      </c>
    </row>
    <row r="4204" spans="1:6" x14ac:dyDescent="0.25">
      <c r="A4204">
        <v>7015145</v>
      </c>
      <c r="B4204" t="s">
        <v>4268</v>
      </c>
      <c r="C4204" t="str">
        <f>""</f>
        <v/>
      </c>
      <c r="D4204" t="str">
        <f>"9783110710595"</f>
        <v>9783110710595</v>
      </c>
      <c r="E4204" t="s">
        <v>73</v>
      </c>
      <c r="F4204" s="1">
        <v>44263</v>
      </c>
    </row>
    <row r="4205" spans="1:6" x14ac:dyDescent="0.25">
      <c r="A4205">
        <v>7015146</v>
      </c>
      <c r="B4205" t="s">
        <v>4269</v>
      </c>
      <c r="C4205" t="str">
        <f>""</f>
        <v/>
      </c>
      <c r="D4205" t="str">
        <f>"9783110726572"</f>
        <v>9783110726572</v>
      </c>
      <c r="E4205" t="s">
        <v>73</v>
      </c>
      <c r="F4205" s="1">
        <v>44172</v>
      </c>
    </row>
    <row r="4206" spans="1:6" x14ac:dyDescent="0.25">
      <c r="A4206">
        <v>7015147</v>
      </c>
      <c r="B4206" t="s">
        <v>4270</v>
      </c>
      <c r="C4206" t="str">
        <f>""</f>
        <v/>
      </c>
      <c r="D4206" t="str">
        <f>"9783111465012"</f>
        <v>9783111465012</v>
      </c>
      <c r="E4206" t="s">
        <v>73</v>
      </c>
      <c r="F4206" s="1">
        <v>43647</v>
      </c>
    </row>
    <row r="4207" spans="1:6" x14ac:dyDescent="0.25">
      <c r="A4207">
        <v>7015148</v>
      </c>
      <c r="B4207" t="s">
        <v>4271</v>
      </c>
      <c r="C4207" t="str">
        <f>"9783110619454"</f>
        <v>9783110619454</v>
      </c>
      <c r="D4207" t="str">
        <f>"9783110619928"</f>
        <v>9783110619928</v>
      </c>
      <c r="E4207" t="s">
        <v>73</v>
      </c>
      <c r="F4207" s="1">
        <v>43451</v>
      </c>
    </row>
    <row r="4208" spans="1:6" x14ac:dyDescent="0.25">
      <c r="A4208">
        <v>7015149</v>
      </c>
      <c r="B4208" t="s">
        <v>4272</v>
      </c>
      <c r="C4208" t="str">
        <f>""</f>
        <v/>
      </c>
      <c r="D4208" t="str">
        <f>"9783111460871"</f>
        <v>9783111460871</v>
      </c>
      <c r="E4208" t="s">
        <v>73</v>
      </c>
      <c r="F4208" s="1">
        <v>43739</v>
      </c>
    </row>
    <row r="4209" spans="1:6" x14ac:dyDescent="0.25">
      <c r="A4209">
        <v>7015150</v>
      </c>
      <c r="B4209" t="s">
        <v>4273</v>
      </c>
      <c r="C4209" t="str">
        <f>""</f>
        <v/>
      </c>
      <c r="D4209" t="str">
        <f>"9783486754476"</f>
        <v>9783486754476</v>
      </c>
      <c r="E4209" t="s">
        <v>73</v>
      </c>
      <c r="F4209" s="1">
        <v>9863</v>
      </c>
    </row>
    <row r="4210" spans="1:6" x14ac:dyDescent="0.25">
      <c r="A4210">
        <v>7015151</v>
      </c>
      <c r="B4210" t="s">
        <v>4274</v>
      </c>
      <c r="C4210" t="str">
        <f>""</f>
        <v/>
      </c>
      <c r="D4210" t="str">
        <f>"9783110724127"</f>
        <v>9783110724127</v>
      </c>
      <c r="E4210" t="s">
        <v>73</v>
      </c>
      <c r="F4210" s="1">
        <v>44522</v>
      </c>
    </row>
    <row r="4211" spans="1:6" x14ac:dyDescent="0.25">
      <c r="A4211">
        <v>7015152</v>
      </c>
      <c r="B4211" t="s">
        <v>4275</v>
      </c>
      <c r="C4211" t="str">
        <f>""</f>
        <v/>
      </c>
      <c r="D4211" t="str">
        <f>"9783110720297"</f>
        <v>9783110720297</v>
      </c>
      <c r="E4211" t="s">
        <v>73</v>
      </c>
      <c r="F4211" s="1">
        <v>42628</v>
      </c>
    </row>
    <row r="4212" spans="1:6" x14ac:dyDescent="0.25">
      <c r="A4212">
        <v>7015153</v>
      </c>
      <c r="B4212" t="s">
        <v>4276</v>
      </c>
      <c r="C4212" t="str">
        <f>""</f>
        <v/>
      </c>
      <c r="D4212" t="str">
        <f>"9783110714357"</f>
        <v>9783110714357</v>
      </c>
      <c r="E4212" t="s">
        <v>73</v>
      </c>
      <c r="F4212" s="1">
        <v>44446</v>
      </c>
    </row>
    <row r="4213" spans="1:6" x14ac:dyDescent="0.25">
      <c r="A4213">
        <v>7015154</v>
      </c>
      <c r="B4213" t="s">
        <v>4277</v>
      </c>
      <c r="C4213" t="str">
        <f>""</f>
        <v/>
      </c>
      <c r="D4213" t="str">
        <f>"9783110641998"</f>
        <v>9783110641998</v>
      </c>
      <c r="E4213" t="s">
        <v>73</v>
      </c>
      <c r="F4213" s="1">
        <v>44095</v>
      </c>
    </row>
    <row r="4214" spans="1:6" x14ac:dyDescent="0.25">
      <c r="A4214">
        <v>7015155</v>
      </c>
      <c r="B4214" t="s">
        <v>4278</v>
      </c>
      <c r="C4214" t="str">
        <f>"9783486518412"</f>
        <v>9783486518412</v>
      </c>
      <c r="D4214" t="str">
        <f>"9783486594164"</f>
        <v>9783486594164</v>
      </c>
      <c r="E4214" t="s">
        <v>73</v>
      </c>
      <c r="F4214" s="1">
        <v>30644</v>
      </c>
    </row>
    <row r="4215" spans="1:6" x14ac:dyDescent="0.25">
      <c r="A4215">
        <v>7015156</v>
      </c>
      <c r="B4215" t="s">
        <v>4279</v>
      </c>
      <c r="C4215" t="str">
        <f>""</f>
        <v/>
      </c>
      <c r="D4215" t="str">
        <f>"9783110622478"</f>
        <v>9783110622478</v>
      </c>
      <c r="E4215" t="s">
        <v>73</v>
      </c>
      <c r="F4215" s="1">
        <v>43494</v>
      </c>
    </row>
    <row r="4216" spans="1:6" x14ac:dyDescent="0.25">
      <c r="A4216">
        <v>7015157</v>
      </c>
      <c r="B4216" t="s">
        <v>4280</v>
      </c>
      <c r="C4216" t="str">
        <f>""</f>
        <v/>
      </c>
      <c r="D4216" t="str">
        <f>"9783035623079"</f>
        <v>9783035623079</v>
      </c>
      <c r="E4216" t="s">
        <v>73</v>
      </c>
      <c r="F4216" s="1">
        <v>44382</v>
      </c>
    </row>
    <row r="4217" spans="1:6" x14ac:dyDescent="0.25">
      <c r="A4217">
        <v>7015158</v>
      </c>
      <c r="B4217" t="s">
        <v>4281</v>
      </c>
      <c r="C4217" t="str">
        <f>""</f>
        <v/>
      </c>
      <c r="D4217" t="str">
        <f>"9783110720082"</f>
        <v>9783110720082</v>
      </c>
      <c r="E4217" t="s">
        <v>73</v>
      </c>
      <c r="F4217" s="1">
        <v>41841</v>
      </c>
    </row>
    <row r="4218" spans="1:6" x14ac:dyDescent="0.25">
      <c r="A4218">
        <v>7015159</v>
      </c>
      <c r="B4218" t="s">
        <v>4282</v>
      </c>
      <c r="C4218" t="str">
        <f>""</f>
        <v/>
      </c>
      <c r="D4218" t="str">
        <f>"9783110681017"</f>
        <v>9783110681017</v>
      </c>
      <c r="E4218" t="s">
        <v>73</v>
      </c>
      <c r="F4218" s="1">
        <v>44158</v>
      </c>
    </row>
    <row r="4219" spans="1:6" x14ac:dyDescent="0.25">
      <c r="A4219">
        <v>7015160</v>
      </c>
      <c r="B4219" t="s">
        <v>4283</v>
      </c>
      <c r="C4219" t="str">
        <f>"9783110598308"</f>
        <v>9783110598308</v>
      </c>
      <c r="D4219" t="str">
        <f>"9783110600261"</f>
        <v>9783110600261</v>
      </c>
      <c r="E4219" t="s">
        <v>73</v>
      </c>
      <c r="F4219" s="1">
        <v>43451</v>
      </c>
    </row>
    <row r="4220" spans="1:6" x14ac:dyDescent="0.25">
      <c r="A4220">
        <v>7015161</v>
      </c>
      <c r="B4220" t="s">
        <v>4284</v>
      </c>
      <c r="C4220" t="str">
        <f>""</f>
        <v/>
      </c>
      <c r="D4220" t="str">
        <f>"9783111403748"</f>
        <v>9783111403748</v>
      </c>
      <c r="E4220" t="s">
        <v>73</v>
      </c>
      <c r="F4220" s="1">
        <v>5570</v>
      </c>
    </row>
    <row r="4221" spans="1:6" x14ac:dyDescent="0.25">
      <c r="A4221">
        <v>7015162</v>
      </c>
      <c r="B4221" t="s">
        <v>4285</v>
      </c>
      <c r="C4221" t="str">
        <f>""</f>
        <v/>
      </c>
      <c r="D4221" t="str">
        <f>"9783110707540"</f>
        <v>9783110707540</v>
      </c>
      <c r="E4221" t="s">
        <v>73</v>
      </c>
      <c r="F4221" s="1">
        <v>44473</v>
      </c>
    </row>
    <row r="4222" spans="1:6" x14ac:dyDescent="0.25">
      <c r="A4222">
        <v>7015163</v>
      </c>
      <c r="B4222" t="s">
        <v>4286</v>
      </c>
      <c r="C4222" t="str">
        <f>""</f>
        <v/>
      </c>
      <c r="D4222" t="str">
        <f>"9783111480916"</f>
        <v>9783111480916</v>
      </c>
      <c r="E4222" t="s">
        <v>73</v>
      </c>
      <c r="F4222" s="1">
        <v>1553</v>
      </c>
    </row>
    <row r="4223" spans="1:6" x14ac:dyDescent="0.25">
      <c r="A4223">
        <v>7015164</v>
      </c>
      <c r="B4223" t="s">
        <v>4287</v>
      </c>
      <c r="C4223" t="str">
        <f>""</f>
        <v/>
      </c>
      <c r="D4223" t="str">
        <f>"9783110676631"</f>
        <v>9783110676631</v>
      </c>
      <c r="E4223" t="s">
        <v>73</v>
      </c>
      <c r="F4223" s="1">
        <v>43871</v>
      </c>
    </row>
    <row r="4224" spans="1:6" x14ac:dyDescent="0.25">
      <c r="A4224">
        <v>7015165</v>
      </c>
      <c r="B4224" t="s">
        <v>4288</v>
      </c>
      <c r="C4224" t="str">
        <f>""</f>
        <v/>
      </c>
      <c r="D4224" t="str">
        <f>"9783110890709"</f>
        <v>9783110890709</v>
      </c>
      <c r="E4224" t="s">
        <v>73</v>
      </c>
      <c r="F4224" s="1">
        <v>35884</v>
      </c>
    </row>
    <row r="4225" spans="1:6" x14ac:dyDescent="0.25">
      <c r="A4225">
        <v>7015166</v>
      </c>
      <c r="B4225" t="s">
        <v>4289</v>
      </c>
      <c r="C4225" t="str">
        <f>""</f>
        <v/>
      </c>
      <c r="D4225" t="str">
        <f>"9783110498967"</f>
        <v>9783110498967</v>
      </c>
      <c r="E4225" t="s">
        <v>73</v>
      </c>
      <c r="F4225" s="1">
        <v>44508</v>
      </c>
    </row>
    <row r="4226" spans="1:6" x14ac:dyDescent="0.25">
      <c r="A4226">
        <v>7015167</v>
      </c>
      <c r="B4226" t="s">
        <v>4290</v>
      </c>
      <c r="C4226" t="str">
        <f>"9783111115214"</f>
        <v>9783111115214</v>
      </c>
      <c r="D4226" t="str">
        <f>"9783111482026"</f>
        <v>9783111482026</v>
      </c>
      <c r="E4226" t="s">
        <v>73</v>
      </c>
      <c r="F4226" t="s">
        <v>4291</v>
      </c>
    </row>
    <row r="4227" spans="1:6" x14ac:dyDescent="0.25">
      <c r="A4227">
        <v>7015168</v>
      </c>
      <c r="B4227" t="s">
        <v>4292</v>
      </c>
      <c r="C4227" t="str">
        <f>""</f>
        <v/>
      </c>
      <c r="D4227" t="str">
        <f>"9783110736274"</f>
        <v>9783110736274</v>
      </c>
      <c r="E4227" t="s">
        <v>73</v>
      </c>
      <c r="F4227" s="1">
        <v>44396</v>
      </c>
    </row>
    <row r="4228" spans="1:6" x14ac:dyDescent="0.25">
      <c r="A4228">
        <v>7015169</v>
      </c>
      <c r="B4228" t="s">
        <v>4293</v>
      </c>
      <c r="C4228" t="str">
        <f>""</f>
        <v/>
      </c>
      <c r="D4228" t="str">
        <f>"9783110721621"</f>
        <v>9783110721621</v>
      </c>
      <c r="E4228" t="s">
        <v>73</v>
      </c>
      <c r="F4228" s="1">
        <v>44382</v>
      </c>
    </row>
    <row r="4229" spans="1:6" x14ac:dyDescent="0.25">
      <c r="A4229">
        <v>7015170</v>
      </c>
      <c r="B4229" t="s">
        <v>4294</v>
      </c>
      <c r="C4229" t="str">
        <f>""</f>
        <v/>
      </c>
      <c r="D4229" t="str">
        <f>"9783110682106"</f>
        <v>9783110682106</v>
      </c>
      <c r="E4229" t="s">
        <v>73</v>
      </c>
      <c r="F4229" s="1">
        <v>44473</v>
      </c>
    </row>
    <row r="4230" spans="1:6" x14ac:dyDescent="0.25">
      <c r="A4230">
        <v>7015171</v>
      </c>
      <c r="B4230" t="s">
        <v>4295</v>
      </c>
      <c r="C4230" t="str">
        <f>""</f>
        <v/>
      </c>
      <c r="D4230" t="str">
        <f>"9783111460017"</f>
        <v>9783111460017</v>
      </c>
      <c r="E4230" t="s">
        <v>73</v>
      </c>
      <c r="F4230" s="1">
        <v>2283</v>
      </c>
    </row>
    <row r="4231" spans="1:6" x14ac:dyDescent="0.25">
      <c r="A4231">
        <v>7015172</v>
      </c>
      <c r="B4231" t="s">
        <v>4296</v>
      </c>
      <c r="C4231" t="str">
        <f>""</f>
        <v/>
      </c>
      <c r="D4231" t="str">
        <f>"9783110722826"</f>
        <v>9783110722826</v>
      </c>
      <c r="E4231" t="s">
        <v>73</v>
      </c>
      <c r="F4231" s="1">
        <v>44263</v>
      </c>
    </row>
    <row r="4232" spans="1:6" x14ac:dyDescent="0.25">
      <c r="A4232">
        <v>7015173</v>
      </c>
      <c r="B4232" t="s">
        <v>4297</v>
      </c>
      <c r="C4232" t="str">
        <f>""</f>
        <v/>
      </c>
      <c r="D4232" t="str">
        <f>"9783111502793"</f>
        <v>9783111502793</v>
      </c>
      <c r="E4232" t="s">
        <v>73</v>
      </c>
      <c r="F4232" s="1">
        <v>21641</v>
      </c>
    </row>
    <row r="4233" spans="1:6" x14ac:dyDescent="0.25">
      <c r="A4233">
        <v>7015174</v>
      </c>
      <c r="B4233" t="s">
        <v>4298</v>
      </c>
      <c r="C4233" t="str">
        <f>"9783110604269"</f>
        <v>9783110604269</v>
      </c>
      <c r="D4233" t="str">
        <f>"9783110604276"</f>
        <v>9783110604276</v>
      </c>
      <c r="E4233" t="s">
        <v>73</v>
      </c>
      <c r="F4233" s="1">
        <v>43437</v>
      </c>
    </row>
    <row r="4234" spans="1:6" x14ac:dyDescent="0.25">
      <c r="A4234">
        <v>7015175</v>
      </c>
      <c r="B4234" t="s">
        <v>4299</v>
      </c>
      <c r="C4234" t="str">
        <f>""</f>
        <v/>
      </c>
      <c r="D4234" t="str">
        <f>"9783110622515"</f>
        <v>9783110622515</v>
      </c>
      <c r="E4234" t="s">
        <v>73</v>
      </c>
      <c r="F4234" s="1">
        <v>34775</v>
      </c>
    </row>
    <row r="4235" spans="1:6" x14ac:dyDescent="0.25">
      <c r="A4235">
        <v>7015176</v>
      </c>
      <c r="B4235" t="s">
        <v>4300</v>
      </c>
      <c r="C4235" t="str">
        <f>""</f>
        <v/>
      </c>
      <c r="D4235" t="str">
        <f>"9783111727066"</f>
        <v>9783111727066</v>
      </c>
      <c r="E4235" t="s">
        <v>73</v>
      </c>
      <c r="F4235" t="s">
        <v>4301</v>
      </c>
    </row>
    <row r="4236" spans="1:6" x14ac:dyDescent="0.25">
      <c r="A4236">
        <v>7015177</v>
      </c>
      <c r="B4236" t="s">
        <v>4302</v>
      </c>
      <c r="C4236" t="str">
        <f>""</f>
        <v/>
      </c>
      <c r="D4236" t="str">
        <f>"9783110661255"</f>
        <v>9783110661255</v>
      </c>
      <c r="E4236" t="s">
        <v>73</v>
      </c>
      <c r="F4236" s="1">
        <v>44431</v>
      </c>
    </row>
    <row r="4237" spans="1:6" x14ac:dyDescent="0.25">
      <c r="A4237">
        <v>7015178</v>
      </c>
      <c r="B4237" t="s">
        <v>4303</v>
      </c>
      <c r="C4237" t="str">
        <f>""</f>
        <v/>
      </c>
      <c r="D4237" t="str">
        <f>"9783110900668"</f>
        <v>9783110900668</v>
      </c>
      <c r="E4237" t="s">
        <v>73</v>
      </c>
      <c r="F4237" s="1">
        <v>38551</v>
      </c>
    </row>
    <row r="4238" spans="1:6" x14ac:dyDescent="0.25">
      <c r="A4238">
        <v>7015179</v>
      </c>
      <c r="B4238" t="s">
        <v>4304</v>
      </c>
      <c r="C4238" t="str">
        <f>""</f>
        <v/>
      </c>
      <c r="D4238" t="str">
        <f>"9783035620801"</f>
        <v>9783035620801</v>
      </c>
      <c r="E4238" t="s">
        <v>73</v>
      </c>
      <c r="F4238" s="1">
        <v>44235</v>
      </c>
    </row>
    <row r="4239" spans="1:6" x14ac:dyDescent="0.25">
      <c r="A4239">
        <v>7015180</v>
      </c>
      <c r="B4239" t="s">
        <v>4305</v>
      </c>
      <c r="C4239" t="str">
        <f>""</f>
        <v/>
      </c>
      <c r="D4239" t="str">
        <f>"9783486770575"</f>
        <v>9783486770575</v>
      </c>
      <c r="E4239" t="s">
        <v>73</v>
      </c>
      <c r="F4239" s="1">
        <v>28216</v>
      </c>
    </row>
    <row r="4240" spans="1:6" x14ac:dyDescent="0.25">
      <c r="A4240">
        <v>7015181</v>
      </c>
      <c r="B4240" t="s">
        <v>4306</v>
      </c>
      <c r="C4240" t="str">
        <f>""</f>
        <v/>
      </c>
      <c r="D4240" t="str">
        <f>"9783111509709"</f>
        <v>9783111509709</v>
      </c>
      <c r="E4240" t="s">
        <v>73</v>
      </c>
      <c r="F4240" s="1">
        <v>43525</v>
      </c>
    </row>
    <row r="4241" spans="1:6" x14ac:dyDescent="0.25">
      <c r="A4241">
        <v>7015182</v>
      </c>
      <c r="B4241" t="s">
        <v>4307</v>
      </c>
      <c r="C4241" t="str">
        <f>"9783110601626"</f>
        <v>9783110601626</v>
      </c>
      <c r="D4241" t="str">
        <f>"9783110604337"</f>
        <v>9783110604337</v>
      </c>
      <c r="E4241" t="s">
        <v>73</v>
      </c>
      <c r="F4241" s="1">
        <v>43304</v>
      </c>
    </row>
    <row r="4242" spans="1:6" x14ac:dyDescent="0.25">
      <c r="A4242">
        <v>7015183</v>
      </c>
      <c r="B4242" t="s">
        <v>4308</v>
      </c>
      <c r="C4242" t="str">
        <f>""</f>
        <v/>
      </c>
      <c r="D4242" t="str">
        <f>"9783110878592"</f>
        <v>9783110878592</v>
      </c>
      <c r="E4242" t="s">
        <v>53</v>
      </c>
      <c r="F4242" s="1">
        <v>27395</v>
      </c>
    </row>
    <row r="4243" spans="1:6" x14ac:dyDescent="0.25">
      <c r="A4243">
        <v>7015184</v>
      </c>
      <c r="B4243" t="s">
        <v>4309</v>
      </c>
      <c r="C4243" t="str">
        <f>""</f>
        <v/>
      </c>
      <c r="D4243" t="str">
        <f>"9783111698212"</f>
        <v>9783111698212</v>
      </c>
      <c r="E4243" t="s">
        <v>53</v>
      </c>
      <c r="F4243" t="s">
        <v>4310</v>
      </c>
    </row>
    <row r="4244" spans="1:6" x14ac:dyDescent="0.25">
      <c r="A4244">
        <v>7015185</v>
      </c>
      <c r="B4244" t="s">
        <v>4311</v>
      </c>
      <c r="C4244" t="str">
        <f>""</f>
        <v/>
      </c>
      <c r="D4244" t="str">
        <f>"9783111646213"</f>
        <v>9783111646213</v>
      </c>
      <c r="E4244" t="s">
        <v>73</v>
      </c>
      <c r="F4244" s="1">
        <v>6301</v>
      </c>
    </row>
    <row r="4245" spans="1:6" x14ac:dyDescent="0.25">
      <c r="A4245">
        <v>7015186</v>
      </c>
      <c r="B4245" t="s">
        <v>4312</v>
      </c>
      <c r="C4245" t="str">
        <f>""</f>
        <v/>
      </c>
      <c r="D4245" t="str">
        <f>"9783110622652"</f>
        <v>9783110622652</v>
      </c>
      <c r="E4245" t="s">
        <v>73</v>
      </c>
      <c r="F4245" s="1">
        <v>36661</v>
      </c>
    </row>
    <row r="4246" spans="1:6" x14ac:dyDescent="0.25">
      <c r="A4246">
        <v>7015187</v>
      </c>
      <c r="B4246" t="s">
        <v>4313</v>
      </c>
      <c r="C4246" t="str">
        <f>""</f>
        <v/>
      </c>
      <c r="D4246" t="str">
        <f>"9783110590647"</f>
        <v>9783110590647</v>
      </c>
      <c r="E4246" t="s">
        <v>73</v>
      </c>
      <c r="F4246" s="1">
        <v>44522</v>
      </c>
    </row>
    <row r="4247" spans="1:6" x14ac:dyDescent="0.25">
      <c r="A4247">
        <v>7015188</v>
      </c>
      <c r="B4247" t="s">
        <v>4314</v>
      </c>
      <c r="C4247" t="str">
        <f>""</f>
        <v/>
      </c>
      <c r="D4247" t="str">
        <f>"9783111485133"</f>
        <v>9783111485133</v>
      </c>
      <c r="E4247" t="s">
        <v>73</v>
      </c>
      <c r="F4247" t="s">
        <v>4315</v>
      </c>
    </row>
    <row r="4248" spans="1:6" x14ac:dyDescent="0.25">
      <c r="A4248">
        <v>7015189</v>
      </c>
      <c r="B4248" t="s">
        <v>4316</v>
      </c>
      <c r="C4248" t="str">
        <f>""</f>
        <v/>
      </c>
      <c r="D4248" t="str">
        <f>"9783110725612"</f>
        <v>9783110725612</v>
      </c>
      <c r="E4248" t="s">
        <v>73</v>
      </c>
      <c r="F4248" s="1">
        <v>44396</v>
      </c>
    </row>
    <row r="4249" spans="1:6" x14ac:dyDescent="0.25">
      <c r="A4249">
        <v>7015190</v>
      </c>
      <c r="B4249" t="s">
        <v>4317</v>
      </c>
      <c r="C4249" t="str">
        <f>""</f>
        <v/>
      </c>
      <c r="D4249" t="str">
        <f>"9783110657807"</f>
        <v>9783110657807</v>
      </c>
      <c r="E4249" t="s">
        <v>73</v>
      </c>
      <c r="F4249" s="1">
        <v>44214</v>
      </c>
    </row>
    <row r="4250" spans="1:6" x14ac:dyDescent="0.25">
      <c r="A4250">
        <v>7015191</v>
      </c>
      <c r="B4250" t="s">
        <v>4318</v>
      </c>
      <c r="C4250" t="str">
        <f>"9783486558982"</f>
        <v>9783486558982</v>
      </c>
      <c r="D4250" t="str">
        <f>"9783486594201"</f>
        <v>9783486594201</v>
      </c>
      <c r="E4250" t="s">
        <v>73</v>
      </c>
      <c r="F4250" s="1">
        <v>33687</v>
      </c>
    </row>
    <row r="4251" spans="1:6" x14ac:dyDescent="0.25">
      <c r="A4251">
        <v>7015192</v>
      </c>
      <c r="B4251" t="s">
        <v>4319</v>
      </c>
      <c r="C4251" t="str">
        <f>""</f>
        <v/>
      </c>
      <c r="D4251" t="str">
        <f>"9783110709872"</f>
        <v>9783110709872</v>
      </c>
      <c r="E4251" t="s">
        <v>73</v>
      </c>
      <c r="F4251" s="1">
        <v>44095</v>
      </c>
    </row>
    <row r="4252" spans="1:6" x14ac:dyDescent="0.25">
      <c r="A4252">
        <v>7015193</v>
      </c>
      <c r="B4252" t="s">
        <v>4320</v>
      </c>
      <c r="C4252" t="str">
        <f>""</f>
        <v/>
      </c>
      <c r="D4252" t="str">
        <f>"9783110720105"</f>
        <v>9783110720105</v>
      </c>
      <c r="E4252" t="s">
        <v>73</v>
      </c>
      <c r="F4252" s="1">
        <v>44384</v>
      </c>
    </row>
    <row r="4253" spans="1:6" x14ac:dyDescent="0.25">
      <c r="A4253">
        <v>7015194</v>
      </c>
      <c r="B4253" t="s">
        <v>4321</v>
      </c>
      <c r="C4253" t="str">
        <f>"9783110567809"</f>
        <v>9783110567809</v>
      </c>
      <c r="D4253" t="str">
        <f>"9783110569070"</f>
        <v>9783110569070</v>
      </c>
      <c r="E4253" t="s">
        <v>73</v>
      </c>
      <c r="F4253" s="1">
        <v>43423</v>
      </c>
    </row>
    <row r="4254" spans="1:6" x14ac:dyDescent="0.25">
      <c r="A4254">
        <v>7015195</v>
      </c>
      <c r="B4254" t="s">
        <v>4322</v>
      </c>
      <c r="C4254" t="str">
        <f>""</f>
        <v/>
      </c>
      <c r="D4254" t="str">
        <f>"9783110446593"</f>
        <v>9783110446593</v>
      </c>
      <c r="E4254" t="s">
        <v>73</v>
      </c>
      <c r="F4254" s="1">
        <v>34669</v>
      </c>
    </row>
    <row r="4255" spans="1:6" x14ac:dyDescent="0.25">
      <c r="A4255">
        <v>7015196</v>
      </c>
      <c r="B4255" t="s">
        <v>4323</v>
      </c>
      <c r="C4255" t="str">
        <f>""</f>
        <v/>
      </c>
      <c r="D4255" t="str">
        <f>"9783110716016"</f>
        <v>9783110716016</v>
      </c>
      <c r="E4255" t="s">
        <v>73</v>
      </c>
      <c r="F4255" s="1">
        <v>44410</v>
      </c>
    </row>
    <row r="4256" spans="1:6" x14ac:dyDescent="0.25">
      <c r="A4256">
        <v>7015197</v>
      </c>
      <c r="B4256" t="s">
        <v>4324</v>
      </c>
      <c r="C4256" t="str">
        <f>""</f>
        <v/>
      </c>
      <c r="D4256" t="str">
        <f>"9783110744767"</f>
        <v>9783110744767</v>
      </c>
      <c r="E4256" t="s">
        <v>73</v>
      </c>
      <c r="F4256" s="1">
        <v>44459</v>
      </c>
    </row>
    <row r="4257" spans="1:6" x14ac:dyDescent="0.25">
      <c r="A4257">
        <v>7015198</v>
      </c>
      <c r="B4257" t="s">
        <v>4325</v>
      </c>
      <c r="C4257" t="str">
        <f>""</f>
        <v/>
      </c>
      <c r="D4257" t="str">
        <f>"9783110727845"</f>
        <v>9783110727845</v>
      </c>
      <c r="E4257" t="s">
        <v>73</v>
      </c>
      <c r="F4257" s="1">
        <v>44446</v>
      </c>
    </row>
    <row r="4258" spans="1:6" x14ac:dyDescent="0.25">
      <c r="A4258">
        <v>7015199</v>
      </c>
      <c r="B4258" t="s">
        <v>4326</v>
      </c>
      <c r="C4258" t="str">
        <f>""</f>
        <v/>
      </c>
      <c r="D4258" t="str">
        <f>"9783111600765"</f>
        <v>9783111600765</v>
      </c>
      <c r="E4258" t="s">
        <v>73</v>
      </c>
      <c r="F4258" s="1">
        <v>6666</v>
      </c>
    </row>
    <row r="4259" spans="1:6" x14ac:dyDescent="0.25">
      <c r="A4259">
        <v>7015200</v>
      </c>
      <c r="B4259" t="s">
        <v>4327</v>
      </c>
      <c r="C4259" t="str">
        <f>""</f>
        <v/>
      </c>
      <c r="D4259" t="str">
        <f>"9783110720068"</f>
        <v>9783110720068</v>
      </c>
      <c r="E4259" t="s">
        <v>73</v>
      </c>
      <c r="F4259" s="1">
        <v>44277</v>
      </c>
    </row>
    <row r="4260" spans="1:6" x14ac:dyDescent="0.25">
      <c r="A4260">
        <v>7015201</v>
      </c>
      <c r="B4260" t="s">
        <v>4328</v>
      </c>
      <c r="C4260" t="str">
        <f>""</f>
        <v/>
      </c>
      <c r="D4260" t="str">
        <f>"9783110720365"</f>
        <v>9783110720365</v>
      </c>
      <c r="E4260" t="s">
        <v>73</v>
      </c>
      <c r="F4260" s="1">
        <v>43220</v>
      </c>
    </row>
    <row r="4261" spans="1:6" x14ac:dyDescent="0.25">
      <c r="A4261">
        <v>7015202</v>
      </c>
      <c r="B4261" t="s">
        <v>4329</v>
      </c>
      <c r="C4261" t="str">
        <f>""</f>
        <v/>
      </c>
      <c r="D4261" t="str">
        <f>"9783110712568"</f>
        <v>9783110712568</v>
      </c>
      <c r="E4261" t="s">
        <v>73</v>
      </c>
      <c r="F4261" s="1">
        <v>44431</v>
      </c>
    </row>
    <row r="4262" spans="1:6" x14ac:dyDescent="0.25">
      <c r="A4262">
        <v>7015203</v>
      </c>
      <c r="B4262" t="s">
        <v>4330</v>
      </c>
      <c r="C4262" t="str">
        <f>""</f>
        <v/>
      </c>
      <c r="D4262" t="str">
        <f>"9783035622164"</f>
        <v>9783035622164</v>
      </c>
      <c r="E4262" t="s">
        <v>73</v>
      </c>
      <c r="F4262" s="1">
        <v>44130</v>
      </c>
    </row>
    <row r="4263" spans="1:6" x14ac:dyDescent="0.25">
      <c r="A4263">
        <v>7015204</v>
      </c>
      <c r="B4263" t="s">
        <v>4331</v>
      </c>
      <c r="C4263" t="str">
        <f>""</f>
        <v/>
      </c>
      <c r="D4263" t="str">
        <f>"9783110742503"</f>
        <v>9783110742503</v>
      </c>
      <c r="E4263" t="s">
        <v>73</v>
      </c>
      <c r="F4263" s="1">
        <v>44326</v>
      </c>
    </row>
    <row r="4264" spans="1:6" x14ac:dyDescent="0.25">
      <c r="A4264">
        <v>7015205</v>
      </c>
      <c r="B4264" t="s">
        <v>4332</v>
      </c>
      <c r="C4264" t="str">
        <f>""</f>
        <v/>
      </c>
      <c r="D4264" t="str">
        <f>"9783110713626"</f>
        <v>9783110713626</v>
      </c>
      <c r="E4264" t="s">
        <v>73</v>
      </c>
      <c r="F4264" s="1">
        <v>44536</v>
      </c>
    </row>
    <row r="4265" spans="1:6" x14ac:dyDescent="0.25">
      <c r="A4265">
        <v>7015206</v>
      </c>
      <c r="B4265" t="s">
        <v>4333</v>
      </c>
      <c r="C4265" t="str">
        <f>""</f>
        <v/>
      </c>
      <c r="D4265" t="str">
        <f>"9783110747003"</f>
        <v>9783110747003</v>
      </c>
      <c r="E4265" t="s">
        <v>73</v>
      </c>
      <c r="F4265" s="1">
        <v>44473</v>
      </c>
    </row>
    <row r="4266" spans="1:6" x14ac:dyDescent="0.25">
      <c r="A4266">
        <v>7015207</v>
      </c>
      <c r="B4266" t="s">
        <v>4334</v>
      </c>
      <c r="C4266" t="str">
        <f>"9783110568776"</f>
        <v>9783110568776</v>
      </c>
      <c r="D4266" t="str">
        <f>"9783110569636"</f>
        <v>9783110569636</v>
      </c>
      <c r="E4266" t="s">
        <v>73</v>
      </c>
      <c r="F4266" s="1">
        <v>44508</v>
      </c>
    </row>
    <row r="4267" spans="1:6" x14ac:dyDescent="0.25">
      <c r="A4267">
        <v>7015208</v>
      </c>
      <c r="B4267" t="s">
        <v>4335</v>
      </c>
      <c r="C4267" t="str">
        <f>""</f>
        <v/>
      </c>
      <c r="D4267" t="str">
        <f>"9783111506234"</f>
        <v>9783111506234</v>
      </c>
      <c r="E4267" t="s">
        <v>73</v>
      </c>
      <c r="F4267" s="1">
        <v>18719</v>
      </c>
    </row>
    <row r="4268" spans="1:6" x14ac:dyDescent="0.25">
      <c r="A4268">
        <v>7015209</v>
      </c>
      <c r="B4268" t="s">
        <v>4336</v>
      </c>
      <c r="C4268" t="str">
        <f>"9783110617825"</f>
        <v>9783110617825</v>
      </c>
      <c r="D4268" t="str">
        <f>"9783110617832"</f>
        <v>9783110617832</v>
      </c>
      <c r="E4268" t="s">
        <v>73</v>
      </c>
      <c r="F4268" s="1">
        <v>43311</v>
      </c>
    </row>
    <row r="4269" spans="1:6" x14ac:dyDescent="0.25">
      <c r="A4269">
        <v>7015210</v>
      </c>
      <c r="B4269" t="s">
        <v>4337</v>
      </c>
      <c r="C4269" t="str">
        <f>""</f>
        <v/>
      </c>
      <c r="D4269" t="str">
        <f>"9783110680744"</f>
        <v>9783110680744</v>
      </c>
      <c r="E4269" t="s">
        <v>53</v>
      </c>
      <c r="F4269" s="1">
        <v>44116</v>
      </c>
    </row>
    <row r="4270" spans="1:6" x14ac:dyDescent="0.25">
      <c r="A4270">
        <v>7015211</v>
      </c>
      <c r="B4270" t="s">
        <v>4338</v>
      </c>
      <c r="C4270" t="str">
        <f>""</f>
        <v/>
      </c>
      <c r="D4270" t="str">
        <f>"9783110748383"</f>
        <v>9783110748383</v>
      </c>
      <c r="E4270" t="s">
        <v>73</v>
      </c>
      <c r="F4270" s="1">
        <v>44536</v>
      </c>
    </row>
    <row r="4271" spans="1:6" x14ac:dyDescent="0.25">
      <c r="A4271">
        <v>7015212</v>
      </c>
      <c r="B4271" t="s">
        <v>4339</v>
      </c>
      <c r="C4271" t="str">
        <f>""</f>
        <v/>
      </c>
      <c r="D4271" t="str">
        <f>"9783111599991"</f>
        <v>9783111599991</v>
      </c>
      <c r="E4271" t="s">
        <v>73</v>
      </c>
      <c r="F4271" t="s">
        <v>4117</v>
      </c>
    </row>
    <row r="4272" spans="1:6" x14ac:dyDescent="0.25">
      <c r="A4272">
        <v>7015213</v>
      </c>
      <c r="B4272" t="s">
        <v>4340</v>
      </c>
      <c r="C4272" t="str">
        <f>""</f>
        <v/>
      </c>
      <c r="D4272" t="str">
        <f>"9783110894752"</f>
        <v>9783110894752</v>
      </c>
      <c r="E4272" t="s">
        <v>73</v>
      </c>
      <c r="F4272" s="1">
        <v>43497</v>
      </c>
    </row>
    <row r="4273" spans="1:6" x14ac:dyDescent="0.25">
      <c r="A4273">
        <v>7015214</v>
      </c>
      <c r="B4273" t="s">
        <v>4341</v>
      </c>
      <c r="C4273" t="str">
        <f>""</f>
        <v/>
      </c>
      <c r="D4273" t="str">
        <f>"9783110826401"</f>
        <v>9783110826401</v>
      </c>
      <c r="E4273" t="s">
        <v>73</v>
      </c>
      <c r="F4273" s="1">
        <v>25477</v>
      </c>
    </row>
    <row r="4274" spans="1:6" x14ac:dyDescent="0.25">
      <c r="A4274">
        <v>7015215</v>
      </c>
      <c r="B4274" t="s">
        <v>4342</v>
      </c>
      <c r="C4274" t="str">
        <f>""</f>
        <v/>
      </c>
      <c r="D4274" t="str">
        <f>"9783111479002"</f>
        <v>9783111479002</v>
      </c>
      <c r="E4274" t="s">
        <v>53</v>
      </c>
      <c r="F4274" s="1">
        <v>42497</v>
      </c>
    </row>
    <row r="4275" spans="1:6" x14ac:dyDescent="0.25">
      <c r="A4275">
        <v>7015216</v>
      </c>
      <c r="B4275" t="s">
        <v>4343</v>
      </c>
      <c r="C4275" t="str">
        <f>"9783110613438"</f>
        <v>9783110613438</v>
      </c>
      <c r="D4275" t="str">
        <f>"9783110613445"</f>
        <v>9783110613445</v>
      </c>
      <c r="E4275" t="s">
        <v>73</v>
      </c>
      <c r="F4275" s="1">
        <v>43385</v>
      </c>
    </row>
    <row r="4276" spans="1:6" x14ac:dyDescent="0.25">
      <c r="A4276">
        <v>7015217</v>
      </c>
      <c r="B4276" t="s">
        <v>4344</v>
      </c>
      <c r="C4276" t="str">
        <f>""</f>
        <v/>
      </c>
      <c r="D4276" t="str">
        <f>"9783111486345"</f>
        <v>9783111486345</v>
      </c>
      <c r="E4276" t="s">
        <v>73</v>
      </c>
      <c r="F4276" t="s">
        <v>4188</v>
      </c>
    </row>
    <row r="4277" spans="1:6" x14ac:dyDescent="0.25">
      <c r="A4277">
        <v>7015218</v>
      </c>
      <c r="B4277" t="s">
        <v>4345</v>
      </c>
      <c r="C4277" t="str">
        <f>""</f>
        <v/>
      </c>
      <c r="D4277" t="str">
        <f>"9783110720303"</f>
        <v>9783110720303</v>
      </c>
      <c r="E4277" t="s">
        <v>73</v>
      </c>
      <c r="F4277" s="1">
        <v>42552</v>
      </c>
    </row>
    <row r="4278" spans="1:6" x14ac:dyDescent="0.25">
      <c r="A4278">
        <v>7015219</v>
      </c>
      <c r="B4278" t="s">
        <v>4346</v>
      </c>
      <c r="C4278" t="str">
        <f>""</f>
        <v/>
      </c>
      <c r="D4278" t="str">
        <f>"9783110622836"</f>
        <v>9783110622836</v>
      </c>
      <c r="E4278" t="s">
        <v>73</v>
      </c>
      <c r="F4278" s="1">
        <v>44104</v>
      </c>
    </row>
    <row r="4279" spans="1:6" x14ac:dyDescent="0.25">
      <c r="A4279">
        <v>7015220</v>
      </c>
      <c r="B4279" t="s">
        <v>4347</v>
      </c>
      <c r="C4279" t="str">
        <f>""</f>
        <v/>
      </c>
      <c r="D4279" t="str">
        <f>"9783110663839"</f>
        <v>9783110663839</v>
      </c>
      <c r="E4279" t="s">
        <v>73</v>
      </c>
      <c r="F4279" s="1">
        <v>43956</v>
      </c>
    </row>
    <row r="4280" spans="1:6" x14ac:dyDescent="0.25">
      <c r="A4280">
        <v>7015221</v>
      </c>
      <c r="B4280" t="s">
        <v>4348</v>
      </c>
      <c r="C4280" t="str">
        <f>""</f>
        <v/>
      </c>
      <c r="D4280" t="str">
        <f>"9783111571881"</f>
        <v>9783111571881</v>
      </c>
      <c r="E4280" t="s">
        <v>73</v>
      </c>
      <c r="F4280" s="1">
        <v>43466</v>
      </c>
    </row>
    <row r="4281" spans="1:6" x14ac:dyDescent="0.25">
      <c r="A4281">
        <v>7015222</v>
      </c>
      <c r="B4281" t="s">
        <v>4349</v>
      </c>
      <c r="C4281" t="str">
        <f>""</f>
        <v/>
      </c>
      <c r="D4281" t="str">
        <f>"9783110730531"</f>
        <v>9783110730531</v>
      </c>
      <c r="E4281" t="s">
        <v>73</v>
      </c>
      <c r="F4281" s="1">
        <v>44494</v>
      </c>
    </row>
    <row r="4282" spans="1:6" x14ac:dyDescent="0.25">
      <c r="A4282">
        <v>7015223</v>
      </c>
      <c r="B4282" t="s">
        <v>4350</v>
      </c>
      <c r="C4282" t="str">
        <f>""</f>
        <v/>
      </c>
      <c r="D4282" t="str">
        <f>"9783110731378"</f>
        <v>9783110731378</v>
      </c>
      <c r="E4282" t="s">
        <v>73</v>
      </c>
      <c r="F4282" s="1">
        <v>44522</v>
      </c>
    </row>
    <row r="4283" spans="1:6" x14ac:dyDescent="0.25">
      <c r="A4283">
        <v>7015224</v>
      </c>
      <c r="B4283" t="s">
        <v>4351</v>
      </c>
      <c r="C4283" t="str">
        <f>""</f>
        <v/>
      </c>
      <c r="D4283" t="str">
        <f>"9783110705621"</f>
        <v>9783110705621</v>
      </c>
      <c r="E4283" t="s">
        <v>73</v>
      </c>
      <c r="F4283" s="1">
        <v>44292</v>
      </c>
    </row>
    <row r="4284" spans="1:6" x14ac:dyDescent="0.25">
      <c r="A4284">
        <v>7015225</v>
      </c>
      <c r="B4284" t="s">
        <v>4352</v>
      </c>
      <c r="C4284" t="str">
        <f>""</f>
        <v/>
      </c>
      <c r="D4284" t="str">
        <f>"9783110720037"</f>
        <v>9783110720037</v>
      </c>
      <c r="E4284" t="s">
        <v>73</v>
      </c>
      <c r="F4284" s="1">
        <v>40210</v>
      </c>
    </row>
    <row r="4285" spans="1:6" x14ac:dyDescent="0.25">
      <c r="A4285">
        <v>7015226</v>
      </c>
      <c r="B4285" t="s">
        <v>4353</v>
      </c>
      <c r="C4285" t="str">
        <f>""</f>
        <v/>
      </c>
      <c r="D4285" t="str">
        <f>"9783110906639"</f>
        <v>9783110906639</v>
      </c>
      <c r="E4285" t="s">
        <v>73</v>
      </c>
      <c r="F4285" s="1">
        <v>21947</v>
      </c>
    </row>
    <row r="4286" spans="1:6" x14ac:dyDescent="0.25">
      <c r="A4286">
        <v>7015227</v>
      </c>
      <c r="B4286" t="s">
        <v>4354</v>
      </c>
      <c r="C4286" t="str">
        <f>""</f>
        <v/>
      </c>
      <c r="D4286" t="str">
        <f>"9783110753707"</f>
        <v>9783110753707</v>
      </c>
      <c r="E4286" t="s">
        <v>73</v>
      </c>
      <c r="F4286" s="1">
        <v>44522</v>
      </c>
    </row>
    <row r="4287" spans="1:6" x14ac:dyDescent="0.25">
      <c r="A4287">
        <v>7015228</v>
      </c>
      <c r="B4287" t="s">
        <v>4355</v>
      </c>
      <c r="C4287" t="str">
        <f>""</f>
        <v/>
      </c>
      <c r="D4287" t="str">
        <f>"9783110651874"</f>
        <v>9783110651874</v>
      </c>
      <c r="E4287" t="s">
        <v>73</v>
      </c>
      <c r="F4287" s="1">
        <v>44067</v>
      </c>
    </row>
    <row r="4288" spans="1:6" x14ac:dyDescent="0.25">
      <c r="A4288">
        <v>7015229</v>
      </c>
      <c r="B4288" t="s">
        <v>4356</v>
      </c>
      <c r="C4288" t="str">
        <f>""</f>
        <v/>
      </c>
      <c r="D4288" t="str">
        <f>"9783111707884"</f>
        <v>9783111707884</v>
      </c>
      <c r="E4288" t="s">
        <v>73</v>
      </c>
      <c r="F4288" s="1">
        <v>1553</v>
      </c>
    </row>
    <row r="4289" spans="1:6" x14ac:dyDescent="0.25">
      <c r="A4289">
        <v>7015230</v>
      </c>
      <c r="B4289" t="s">
        <v>4357</v>
      </c>
      <c r="C4289" t="str">
        <f>""</f>
        <v/>
      </c>
      <c r="D4289" t="str">
        <f>"9783111526713"</f>
        <v>9783111526713</v>
      </c>
      <c r="E4289" t="s">
        <v>73</v>
      </c>
      <c r="F4289" s="1">
        <v>5205</v>
      </c>
    </row>
    <row r="4290" spans="1:6" x14ac:dyDescent="0.25">
      <c r="A4290">
        <v>7015231</v>
      </c>
      <c r="B4290" t="s">
        <v>4358</v>
      </c>
      <c r="C4290" t="str">
        <f>""</f>
        <v/>
      </c>
      <c r="D4290" t="str">
        <f>"9783110707557"</f>
        <v>9783110707557</v>
      </c>
      <c r="E4290" t="s">
        <v>73</v>
      </c>
      <c r="F4290" s="1">
        <v>44494</v>
      </c>
    </row>
    <row r="4291" spans="1:6" x14ac:dyDescent="0.25">
      <c r="A4291">
        <v>7015232</v>
      </c>
      <c r="B4291" t="s">
        <v>4359</v>
      </c>
      <c r="C4291" t="str">
        <f>""</f>
        <v/>
      </c>
      <c r="D4291" t="str">
        <f>"9788395720499"</f>
        <v>9788395720499</v>
      </c>
      <c r="E4291" t="s">
        <v>73</v>
      </c>
      <c r="F4291" s="1">
        <v>44216</v>
      </c>
    </row>
    <row r="4292" spans="1:6" x14ac:dyDescent="0.25">
      <c r="A4292">
        <v>7015233</v>
      </c>
      <c r="B4292" t="s">
        <v>4360</v>
      </c>
      <c r="C4292" t="str">
        <f>""</f>
        <v/>
      </c>
      <c r="D4292" t="str">
        <f>"9783486778014"</f>
        <v>9783486778014</v>
      </c>
      <c r="E4292" t="s">
        <v>73</v>
      </c>
      <c r="F4292" s="1">
        <v>18354</v>
      </c>
    </row>
    <row r="4293" spans="1:6" x14ac:dyDescent="0.25">
      <c r="A4293">
        <v>7015234</v>
      </c>
      <c r="B4293" t="s">
        <v>4361</v>
      </c>
      <c r="C4293" t="str">
        <f>"9783486516715"</f>
        <v>9783486516715</v>
      </c>
      <c r="D4293" t="str">
        <f>"9783486594157"</f>
        <v>9783486594157</v>
      </c>
      <c r="E4293" t="s">
        <v>73</v>
      </c>
      <c r="F4293" s="1">
        <v>30819</v>
      </c>
    </row>
    <row r="4294" spans="1:6" x14ac:dyDescent="0.25">
      <c r="A4294">
        <v>7015235</v>
      </c>
      <c r="B4294" t="s">
        <v>4362</v>
      </c>
      <c r="C4294" t="str">
        <f>""</f>
        <v/>
      </c>
      <c r="D4294" t="str">
        <f>"9783110729290"</f>
        <v>9783110729290</v>
      </c>
      <c r="E4294" t="s">
        <v>73</v>
      </c>
      <c r="F4294" s="1">
        <v>44522</v>
      </c>
    </row>
    <row r="4295" spans="1:6" x14ac:dyDescent="0.25">
      <c r="A4295">
        <v>7015236</v>
      </c>
      <c r="B4295" t="s">
        <v>4363</v>
      </c>
      <c r="C4295" t="str">
        <f>""</f>
        <v/>
      </c>
      <c r="D4295" t="str">
        <f>"9783111506807"</f>
        <v>9783111506807</v>
      </c>
      <c r="E4295" t="s">
        <v>73</v>
      </c>
      <c r="F4295" s="1">
        <v>43497</v>
      </c>
    </row>
    <row r="4296" spans="1:6" x14ac:dyDescent="0.25">
      <c r="A4296">
        <v>7015237</v>
      </c>
      <c r="B4296" t="s">
        <v>4364</v>
      </c>
      <c r="C4296" t="str">
        <f>""</f>
        <v/>
      </c>
      <c r="D4296" t="str">
        <f>"9783486777390"</f>
        <v>9783486777390</v>
      </c>
      <c r="E4296" t="s">
        <v>73</v>
      </c>
      <c r="F4296" s="1">
        <v>17899</v>
      </c>
    </row>
    <row r="4297" spans="1:6" x14ac:dyDescent="0.25">
      <c r="A4297">
        <v>7015238</v>
      </c>
      <c r="B4297" t="s">
        <v>4365</v>
      </c>
      <c r="C4297" t="str">
        <f>""</f>
        <v/>
      </c>
      <c r="D4297" t="str">
        <f>"9783111637464"</f>
        <v>9783111637464</v>
      </c>
      <c r="E4297" t="s">
        <v>73</v>
      </c>
      <c r="F4297" s="1">
        <v>25659</v>
      </c>
    </row>
    <row r="4298" spans="1:6" x14ac:dyDescent="0.25">
      <c r="A4298">
        <v>7015239</v>
      </c>
      <c r="B4298" t="s">
        <v>4366</v>
      </c>
      <c r="C4298" t="str">
        <f>""</f>
        <v/>
      </c>
      <c r="D4298" t="str">
        <f>"9783110722758"</f>
        <v>9783110722758</v>
      </c>
      <c r="E4298" t="s">
        <v>73</v>
      </c>
      <c r="F4298" s="1">
        <v>44263</v>
      </c>
    </row>
    <row r="4299" spans="1:6" x14ac:dyDescent="0.25">
      <c r="A4299">
        <v>7015240</v>
      </c>
      <c r="B4299" t="s">
        <v>4367</v>
      </c>
      <c r="C4299" t="str">
        <f>"9783486241075"</f>
        <v>9783486241075</v>
      </c>
      <c r="D4299" t="str">
        <f>"9783486792720"</f>
        <v>9783486792720</v>
      </c>
      <c r="E4299" t="s">
        <v>73</v>
      </c>
      <c r="F4299" s="1">
        <v>35487</v>
      </c>
    </row>
    <row r="4300" spans="1:6" x14ac:dyDescent="0.25">
      <c r="A4300">
        <v>7015241</v>
      </c>
      <c r="B4300" t="s">
        <v>4368</v>
      </c>
      <c r="C4300" t="str">
        <f>""</f>
        <v/>
      </c>
      <c r="D4300" t="str">
        <f>"9783110616194"</f>
        <v>9783110616194</v>
      </c>
      <c r="E4300" t="s">
        <v>73</v>
      </c>
      <c r="F4300" s="1">
        <v>44410</v>
      </c>
    </row>
    <row r="4301" spans="1:6" x14ac:dyDescent="0.25">
      <c r="A4301">
        <v>7015242</v>
      </c>
      <c r="B4301" t="s">
        <v>4369</v>
      </c>
      <c r="C4301" t="str">
        <f>""</f>
        <v/>
      </c>
      <c r="D4301" t="str">
        <f>"9783110655599"</f>
        <v>9783110655599</v>
      </c>
      <c r="E4301" t="s">
        <v>73</v>
      </c>
      <c r="F4301" s="1">
        <v>43871</v>
      </c>
    </row>
    <row r="4302" spans="1:6" x14ac:dyDescent="0.25">
      <c r="A4302">
        <v>7015243</v>
      </c>
      <c r="B4302" t="s">
        <v>4370</v>
      </c>
      <c r="C4302" t="str">
        <f>""</f>
        <v/>
      </c>
      <c r="D4302" t="str">
        <f>"9783110622522"</f>
        <v>9783110622522</v>
      </c>
      <c r="E4302" t="s">
        <v>73</v>
      </c>
      <c r="F4302" s="1">
        <v>35139</v>
      </c>
    </row>
    <row r="4303" spans="1:6" x14ac:dyDescent="0.25">
      <c r="A4303">
        <v>7015244</v>
      </c>
      <c r="B4303" t="s">
        <v>4371</v>
      </c>
      <c r="C4303" t="str">
        <f>""</f>
        <v/>
      </c>
      <c r="D4303" t="str">
        <f>"9783110722291"</f>
        <v>9783110722291</v>
      </c>
      <c r="E4303" t="s">
        <v>73</v>
      </c>
      <c r="F4303" s="1">
        <v>44522</v>
      </c>
    </row>
    <row r="4304" spans="1:6" x14ac:dyDescent="0.25">
      <c r="A4304">
        <v>7015245</v>
      </c>
      <c r="B4304" t="s">
        <v>4372</v>
      </c>
      <c r="C4304" t="str">
        <f>"9783110634075"</f>
        <v>9783110634075</v>
      </c>
      <c r="D4304" t="str">
        <f>"9783110634082"</f>
        <v>9783110634082</v>
      </c>
      <c r="E4304" t="s">
        <v>73</v>
      </c>
      <c r="F4304" s="1">
        <v>43461</v>
      </c>
    </row>
    <row r="4305" spans="1:6" x14ac:dyDescent="0.25">
      <c r="A4305">
        <v>7015246</v>
      </c>
      <c r="B4305" t="s">
        <v>4373</v>
      </c>
      <c r="C4305" t="str">
        <f>"9783110587807"</f>
        <v>9783110587807</v>
      </c>
      <c r="D4305" t="str">
        <f>"9783110591026"</f>
        <v>9783110591026</v>
      </c>
      <c r="E4305" t="s">
        <v>73</v>
      </c>
      <c r="F4305" s="1">
        <v>43927</v>
      </c>
    </row>
    <row r="4306" spans="1:6" x14ac:dyDescent="0.25">
      <c r="A4306">
        <v>7015247</v>
      </c>
      <c r="B4306" t="s">
        <v>4374</v>
      </c>
      <c r="C4306" t="str">
        <f>"9783110602234"</f>
        <v>9783110602234</v>
      </c>
      <c r="D4306" t="str">
        <f>"9783110604955"</f>
        <v>9783110604955</v>
      </c>
      <c r="E4306" t="s">
        <v>73</v>
      </c>
      <c r="F4306" s="1">
        <v>43353</v>
      </c>
    </row>
    <row r="4307" spans="1:6" x14ac:dyDescent="0.25">
      <c r="A4307">
        <v>7015248</v>
      </c>
      <c r="B4307" t="s">
        <v>4375</v>
      </c>
      <c r="C4307" t="str">
        <f>""</f>
        <v/>
      </c>
      <c r="D4307" t="str">
        <f>"9783111526966"</f>
        <v>9783111526966</v>
      </c>
      <c r="E4307" t="s">
        <v>73</v>
      </c>
      <c r="F4307" s="1">
        <v>20911</v>
      </c>
    </row>
    <row r="4308" spans="1:6" x14ac:dyDescent="0.25">
      <c r="A4308">
        <v>7015249</v>
      </c>
      <c r="B4308" t="s">
        <v>4376</v>
      </c>
      <c r="C4308" t="str">
        <f>""</f>
        <v/>
      </c>
      <c r="D4308" t="str">
        <f>"9783110601183"</f>
        <v>9783110601183</v>
      </c>
      <c r="E4308" t="s">
        <v>73</v>
      </c>
      <c r="F4308" s="1">
        <v>43969</v>
      </c>
    </row>
    <row r="4309" spans="1:6" x14ac:dyDescent="0.25">
      <c r="A4309">
        <v>7015250</v>
      </c>
      <c r="B4309" t="s">
        <v>4377</v>
      </c>
      <c r="C4309" t="str">
        <f>""</f>
        <v/>
      </c>
      <c r="D4309" t="str">
        <f>"9783110622447"</f>
        <v>9783110622447</v>
      </c>
      <c r="E4309" t="s">
        <v>73</v>
      </c>
      <c r="F4309" s="1">
        <v>43494</v>
      </c>
    </row>
    <row r="4310" spans="1:6" x14ac:dyDescent="0.25">
      <c r="A4310">
        <v>7015251</v>
      </c>
      <c r="B4310" t="s">
        <v>4378</v>
      </c>
      <c r="C4310" t="str">
        <f>""</f>
        <v/>
      </c>
      <c r="D4310" t="str">
        <f>"9783110695366"</f>
        <v>9783110695366</v>
      </c>
      <c r="E4310" t="s">
        <v>73</v>
      </c>
      <c r="F4310" s="1">
        <v>44326</v>
      </c>
    </row>
    <row r="4311" spans="1:6" x14ac:dyDescent="0.25">
      <c r="A4311">
        <v>7015252</v>
      </c>
      <c r="B4311" t="s">
        <v>4379</v>
      </c>
      <c r="C4311" t="str">
        <f>""</f>
        <v/>
      </c>
      <c r="D4311" t="str">
        <f>"9783111612089"</f>
        <v>9783111612089</v>
      </c>
      <c r="E4311" t="s">
        <v>73</v>
      </c>
      <c r="F4311" t="s">
        <v>4380</v>
      </c>
    </row>
    <row r="4312" spans="1:6" x14ac:dyDescent="0.25">
      <c r="A4312">
        <v>7015253</v>
      </c>
      <c r="B4312" t="s">
        <v>4381</v>
      </c>
      <c r="C4312" t="str">
        <f>""</f>
        <v/>
      </c>
      <c r="D4312" t="str">
        <f>"9783111698205"</f>
        <v>9783111698205</v>
      </c>
      <c r="E4312" t="s">
        <v>53</v>
      </c>
      <c r="F4312" s="1">
        <v>26024</v>
      </c>
    </row>
    <row r="4313" spans="1:6" x14ac:dyDescent="0.25">
      <c r="A4313">
        <v>7015254</v>
      </c>
      <c r="B4313" t="s">
        <v>4382</v>
      </c>
      <c r="C4313" t="str">
        <f>""</f>
        <v/>
      </c>
      <c r="D4313" t="str">
        <f>"9783111388618"</f>
        <v>9783111388618</v>
      </c>
      <c r="E4313" t="s">
        <v>73</v>
      </c>
      <c r="F4313" s="1">
        <v>24198</v>
      </c>
    </row>
    <row r="4314" spans="1:6" x14ac:dyDescent="0.25">
      <c r="A4314">
        <v>7015255</v>
      </c>
      <c r="B4314" t="s">
        <v>4383</v>
      </c>
      <c r="C4314" t="str">
        <f>""</f>
        <v/>
      </c>
      <c r="D4314" t="str">
        <f>"9783110655575"</f>
        <v>9783110655575</v>
      </c>
      <c r="E4314" t="s">
        <v>73</v>
      </c>
      <c r="F4314" s="1">
        <v>44095</v>
      </c>
    </row>
    <row r="4315" spans="1:6" x14ac:dyDescent="0.25">
      <c r="A4315">
        <v>7015256</v>
      </c>
      <c r="B4315" t="s">
        <v>4384</v>
      </c>
      <c r="C4315" t="str">
        <f>""</f>
        <v/>
      </c>
      <c r="D4315" t="str">
        <f>"9783110713336"</f>
        <v>9783110713336</v>
      </c>
      <c r="E4315" t="s">
        <v>73</v>
      </c>
      <c r="F4315" s="1">
        <v>44494</v>
      </c>
    </row>
    <row r="4316" spans="1:6" x14ac:dyDescent="0.25">
      <c r="A4316">
        <v>7015257</v>
      </c>
      <c r="B4316" t="s">
        <v>4385</v>
      </c>
      <c r="C4316" t="str">
        <f>""</f>
        <v/>
      </c>
      <c r="D4316" t="str">
        <f>"9783486754360"</f>
        <v>9783486754360</v>
      </c>
      <c r="E4316" t="s">
        <v>73</v>
      </c>
      <c r="F4316" s="1">
        <v>9863</v>
      </c>
    </row>
    <row r="4317" spans="1:6" x14ac:dyDescent="0.25">
      <c r="A4317">
        <v>7015258</v>
      </c>
      <c r="B4317" t="s">
        <v>4386</v>
      </c>
      <c r="C4317" t="str">
        <f>"9783035617962"</f>
        <v>9783035617962</v>
      </c>
      <c r="D4317" t="str">
        <f>"9783035618013"</f>
        <v>9783035618013</v>
      </c>
      <c r="E4317" t="s">
        <v>73</v>
      </c>
      <c r="F4317" s="1">
        <v>43333</v>
      </c>
    </row>
    <row r="4318" spans="1:6" x14ac:dyDescent="0.25">
      <c r="A4318">
        <v>7015259</v>
      </c>
      <c r="B4318" t="s">
        <v>4387</v>
      </c>
      <c r="C4318" t="str">
        <f>""</f>
        <v/>
      </c>
      <c r="D4318" t="str">
        <f>"9783111721088"</f>
        <v>9783111721088</v>
      </c>
      <c r="E4318" t="s">
        <v>73</v>
      </c>
      <c r="F4318" s="1">
        <v>92</v>
      </c>
    </row>
    <row r="4319" spans="1:6" x14ac:dyDescent="0.25">
      <c r="A4319">
        <v>7015260</v>
      </c>
      <c r="B4319" t="s">
        <v>4388</v>
      </c>
      <c r="C4319" t="str">
        <f>""</f>
        <v/>
      </c>
      <c r="D4319" t="str">
        <f>"9783111436753"</f>
        <v>9783111436753</v>
      </c>
      <c r="E4319" t="s">
        <v>73</v>
      </c>
      <c r="F4319" s="1">
        <v>26755</v>
      </c>
    </row>
    <row r="4320" spans="1:6" x14ac:dyDescent="0.25">
      <c r="A4320">
        <v>7015261</v>
      </c>
      <c r="B4320" t="s">
        <v>4389</v>
      </c>
      <c r="C4320" t="str">
        <f>""</f>
        <v/>
      </c>
      <c r="D4320" t="str">
        <f>"9783111369914"</f>
        <v>9783111369914</v>
      </c>
      <c r="E4320" t="s">
        <v>73</v>
      </c>
      <c r="F4320" s="1">
        <v>27120</v>
      </c>
    </row>
    <row r="4321" spans="1:6" x14ac:dyDescent="0.25">
      <c r="A4321">
        <v>7015262</v>
      </c>
      <c r="B4321" t="s">
        <v>4390</v>
      </c>
      <c r="C4321" t="str">
        <f>"9783111317410"</f>
        <v>9783111317410</v>
      </c>
      <c r="D4321" t="str">
        <f>"9783111706849"</f>
        <v>9783111706849</v>
      </c>
      <c r="E4321" t="s">
        <v>73</v>
      </c>
      <c r="F4321" t="s">
        <v>4391</v>
      </c>
    </row>
    <row r="4322" spans="1:6" x14ac:dyDescent="0.25">
      <c r="A4322">
        <v>7015277</v>
      </c>
      <c r="B4322" t="s">
        <v>4392</v>
      </c>
      <c r="C4322" t="str">
        <f>"9781478015116"</f>
        <v>9781478015116</v>
      </c>
      <c r="D4322" t="str">
        <f>"9781478091806"</f>
        <v>9781478091806</v>
      </c>
      <c r="E4322" t="s">
        <v>174</v>
      </c>
      <c r="F4322" s="1">
        <v>44601</v>
      </c>
    </row>
    <row r="4323" spans="1:6" x14ac:dyDescent="0.25">
      <c r="A4323">
        <v>7015337</v>
      </c>
      <c r="B4323" t="s">
        <v>4393</v>
      </c>
      <c r="C4323" t="str">
        <f>"9789811901232"</f>
        <v>9789811901232</v>
      </c>
      <c r="D4323" t="str">
        <f>"9789811901249"</f>
        <v>9789811901249</v>
      </c>
      <c r="E4323" t="s">
        <v>885</v>
      </c>
      <c r="F4323" s="1">
        <v>44747</v>
      </c>
    </row>
    <row r="4324" spans="1:6" x14ac:dyDescent="0.25">
      <c r="A4324">
        <v>7015360</v>
      </c>
      <c r="B4324" t="s">
        <v>4394</v>
      </c>
      <c r="C4324" t="str">
        <f>"9783030943158"</f>
        <v>9783030943158</v>
      </c>
      <c r="D4324" t="str">
        <f>"9783030943165"</f>
        <v>9783030943165</v>
      </c>
      <c r="E4324" t="s">
        <v>756</v>
      </c>
      <c r="F4324" s="1">
        <v>44763</v>
      </c>
    </row>
    <row r="4325" spans="1:6" x14ac:dyDescent="0.25">
      <c r="A4325">
        <v>7015364</v>
      </c>
      <c r="B4325" t="s">
        <v>4395</v>
      </c>
      <c r="C4325" t="str">
        <f>"9789462655300"</f>
        <v>9789462655300</v>
      </c>
      <c r="D4325" t="str">
        <f>"9789462655317"</f>
        <v>9789462655317</v>
      </c>
      <c r="E4325" t="s">
        <v>1671</v>
      </c>
      <c r="F4325" s="1">
        <v>44757</v>
      </c>
    </row>
    <row r="4326" spans="1:6" x14ac:dyDescent="0.25">
      <c r="A4326">
        <v>7015379</v>
      </c>
      <c r="B4326" t="s">
        <v>4396</v>
      </c>
      <c r="C4326" t="str">
        <f>""</f>
        <v/>
      </c>
      <c r="D4326" t="str">
        <f>"9783110746877"</f>
        <v>9783110746877</v>
      </c>
      <c r="E4326" t="s">
        <v>73</v>
      </c>
      <c r="F4326" s="1">
        <v>44669</v>
      </c>
    </row>
    <row r="4327" spans="1:6" x14ac:dyDescent="0.25">
      <c r="A4327">
        <v>7015380</v>
      </c>
      <c r="B4327" t="s">
        <v>4397</v>
      </c>
      <c r="C4327" t="str">
        <f>"9783110183818"</f>
        <v>9783110183818</v>
      </c>
      <c r="D4327" t="str">
        <f>"9783110924572"</f>
        <v>9783110924572</v>
      </c>
      <c r="E4327" t="s">
        <v>73</v>
      </c>
      <c r="F4327" s="1">
        <v>39251</v>
      </c>
    </row>
    <row r="4328" spans="1:6" x14ac:dyDescent="0.25">
      <c r="A4328">
        <v>7015381</v>
      </c>
      <c r="B4328" t="s">
        <v>4398</v>
      </c>
      <c r="C4328" t="str">
        <f>""</f>
        <v/>
      </c>
      <c r="D4328" t="str">
        <f>"9783110661804"</f>
        <v>9783110661804</v>
      </c>
      <c r="E4328" t="s">
        <v>73</v>
      </c>
      <c r="F4328" s="1">
        <v>44561</v>
      </c>
    </row>
    <row r="4329" spans="1:6" x14ac:dyDescent="0.25">
      <c r="A4329">
        <v>7015382</v>
      </c>
      <c r="B4329" t="s">
        <v>4399</v>
      </c>
      <c r="C4329" t="str">
        <f>""</f>
        <v/>
      </c>
      <c r="D4329" t="str">
        <f>"9783110751987"</f>
        <v>9783110751987</v>
      </c>
      <c r="E4329" t="s">
        <v>73</v>
      </c>
      <c r="F4329" s="1">
        <v>44669</v>
      </c>
    </row>
    <row r="4330" spans="1:6" x14ac:dyDescent="0.25">
      <c r="A4330">
        <v>7015383</v>
      </c>
      <c r="B4330" t="s">
        <v>4400</v>
      </c>
      <c r="C4330" t="str">
        <f>""</f>
        <v/>
      </c>
      <c r="D4330" t="str">
        <f>"9783110733853"</f>
        <v>9783110733853</v>
      </c>
      <c r="E4330" t="s">
        <v>53</v>
      </c>
      <c r="F4330" s="1">
        <v>44718</v>
      </c>
    </row>
    <row r="4331" spans="1:6" x14ac:dyDescent="0.25">
      <c r="A4331">
        <v>7015384</v>
      </c>
      <c r="B4331" t="s">
        <v>4401</v>
      </c>
      <c r="C4331" t="str">
        <f>""</f>
        <v/>
      </c>
      <c r="D4331" t="str">
        <f>"9783110703245"</f>
        <v>9783110703245</v>
      </c>
      <c r="E4331" t="s">
        <v>53</v>
      </c>
      <c r="F4331" s="1">
        <v>44627</v>
      </c>
    </row>
    <row r="4332" spans="1:6" x14ac:dyDescent="0.25">
      <c r="A4332">
        <v>7015385</v>
      </c>
      <c r="B4332" t="s">
        <v>4402</v>
      </c>
      <c r="C4332" t="str">
        <f>""</f>
        <v/>
      </c>
      <c r="D4332" t="str">
        <f>"9783110770209"</f>
        <v>9783110770209</v>
      </c>
      <c r="E4332" t="s">
        <v>73</v>
      </c>
      <c r="F4332" s="1">
        <v>44718</v>
      </c>
    </row>
    <row r="4333" spans="1:6" x14ac:dyDescent="0.25">
      <c r="A4333">
        <v>7015386</v>
      </c>
      <c r="B4333" t="s">
        <v>4403</v>
      </c>
      <c r="C4333" t="str">
        <f>""</f>
        <v/>
      </c>
      <c r="D4333" t="str">
        <f>"9783110745528"</f>
        <v>9783110745528</v>
      </c>
      <c r="E4333" t="s">
        <v>73</v>
      </c>
      <c r="F4333" s="1">
        <v>44655</v>
      </c>
    </row>
    <row r="4334" spans="1:6" x14ac:dyDescent="0.25">
      <c r="A4334">
        <v>7015387</v>
      </c>
      <c r="B4334" t="s">
        <v>4404</v>
      </c>
      <c r="C4334" t="str">
        <f>""</f>
        <v/>
      </c>
      <c r="D4334" t="str">
        <f>"9783486777277"</f>
        <v>9783486777277</v>
      </c>
      <c r="E4334" t="s">
        <v>73</v>
      </c>
      <c r="F4334" s="1">
        <v>18629</v>
      </c>
    </row>
    <row r="4335" spans="1:6" x14ac:dyDescent="0.25">
      <c r="A4335">
        <v>7015389</v>
      </c>
      <c r="B4335" t="s">
        <v>4405</v>
      </c>
      <c r="C4335" t="str">
        <f>""</f>
        <v/>
      </c>
      <c r="D4335" t="str">
        <f>"9783110748703"</f>
        <v>9783110748703</v>
      </c>
      <c r="E4335" t="s">
        <v>73</v>
      </c>
      <c r="F4335" s="1">
        <v>44627</v>
      </c>
    </row>
    <row r="4336" spans="1:6" x14ac:dyDescent="0.25">
      <c r="A4336">
        <v>7015390</v>
      </c>
      <c r="B4336" t="s">
        <v>4406</v>
      </c>
      <c r="C4336" t="str">
        <f>""</f>
        <v/>
      </c>
      <c r="D4336" t="str">
        <f>"9783110751734"</f>
        <v>9783110751734</v>
      </c>
      <c r="E4336" t="s">
        <v>73</v>
      </c>
      <c r="F4336" s="1">
        <v>44627</v>
      </c>
    </row>
    <row r="4337" spans="1:6" x14ac:dyDescent="0.25">
      <c r="A4337">
        <v>7015391</v>
      </c>
      <c r="B4337" t="s">
        <v>4407</v>
      </c>
      <c r="C4337" t="str">
        <f>""</f>
        <v/>
      </c>
      <c r="D4337" t="str">
        <f>"9783110732283"</f>
        <v>9783110732283</v>
      </c>
      <c r="E4337" t="s">
        <v>73</v>
      </c>
      <c r="F4337" s="1">
        <v>44592</v>
      </c>
    </row>
    <row r="4338" spans="1:6" x14ac:dyDescent="0.25">
      <c r="A4338">
        <v>7015392</v>
      </c>
      <c r="B4338" t="s">
        <v>4408</v>
      </c>
      <c r="C4338" t="str">
        <f>""</f>
        <v/>
      </c>
      <c r="D4338" t="str">
        <f>"9783110758948"</f>
        <v>9783110758948</v>
      </c>
      <c r="E4338" t="s">
        <v>73</v>
      </c>
      <c r="F4338" s="1">
        <v>44718</v>
      </c>
    </row>
    <row r="4339" spans="1:6" x14ac:dyDescent="0.25">
      <c r="A4339">
        <v>7015394</v>
      </c>
      <c r="B4339" t="s">
        <v>4409</v>
      </c>
      <c r="C4339" t="str">
        <f>""</f>
        <v/>
      </c>
      <c r="D4339" t="str">
        <f>"9783110749472"</f>
        <v>9783110749472</v>
      </c>
      <c r="E4339" t="s">
        <v>73</v>
      </c>
      <c r="F4339" s="1">
        <v>44592</v>
      </c>
    </row>
    <row r="4340" spans="1:6" x14ac:dyDescent="0.25">
      <c r="A4340">
        <v>7015395</v>
      </c>
      <c r="B4340" t="s">
        <v>4410</v>
      </c>
      <c r="C4340" t="str">
        <f>""</f>
        <v/>
      </c>
      <c r="D4340" t="str">
        <f>"9783110723991"</f>
        <v>9783110723991</v>
      </c>
      <c r="E4340" t="s">
        <v>73</v>
      </c>
      <c r="F4340" s="1">
        <v>44733</v>
      </c>
    </row>
    <row r="4341" spans="1:6" x14ac:dyDescent="0.25">
      <c r="A4341">
        <v>7015396</v>
      </c>
      <c r="B4341" t="s">
        <v>4411</v>
      </c>
      <c r="C4341" t="str">
        <f>""</f>
        <v/>
      </c>
      <c r="D4341" t="str">
        <f>"9783110760200"</f>
        <v>9783110760200</v>
      </c>
      <c r="E4341" t="s">
        <v>73</v>
      </c>
      <c r="F4341" s="1">
        <v>44592</v>
      </c>
    </row>
    <row r="4342" spans="1:6" x14ac:dyDescent="0.25">
      <c r="A4342">
        <v>7015397</v>
      </c>
      <c r="B4342" t="s">
        <v>4412</v>
      </c>
      <c r="C4342" t="str">
        <f>""</f>
        <v/>
      </c>
      <c r="D4342" t="str">
        <f>"9783110749823"</f>
        <v>9783110749823</v>
      </c>
      <c r="E4342" t="s">
        <v>73</v>
      </c>
      <c r="F4342" s="1">
        <v>44613</v>
      </c>
    </row>
    <row r="4343" spans="1:6" x14ac:dyDescent="0.25">
      <c r="A4343">
        <v>7015398</v>
      </c>
      <c r="B4343" t="s">
        <v>4413</v>
      </c>
      <c r="C4343" t="str">
        <f>""</f>
        <v/>
      </c>
      <c r="D4343" t="str">
        <f>"9783110536539"</f>
        <v>9783110536539</v>
      </c>
      <c r="E4343" t="s">
        <v>73</v>
      </c>
      <c r="F4343" s="1">
        <v>44613</v>
      </c>
    </row>
    <row r="4344" spans="1:6" x14ac:dyDescent="0.25">
      <c r="A4344">
        <v>7015399</v>
      </c>
      <c r="B4344" t="s">
        <v>4414</v>
      </c>
      <c r="C4344" t="str">
        <f>""</f>
        <v/>
      </c>
      <c r="D4344" t="str">
        <f>"9783110758603"</f>
        <v>9783110758603</v>
      </c>
      <c r="E4344" t="s">
        <v>73</v>
      </c>
      <c r="F4344" s="1">
        <v>44550</v>
      </c>
    </row>
    <row r="4345" spans="1:6" x14ac:dyDescent="0.25">
      <c r="A4345">
        <v>7015400</v>
      </c>
      <c r="B4345" t="s">
        <v>4415</v>
      </c>
      <c r="C4345" t="str">
        <f>""</f>
        <v/>
      </c>
      <c r="D4345" t="str">
        <f>"9783486774382"</f>
        <v>9783486774382</v>
      </c>
      <c r="E4345" t="s">
        <v>73</v>
      </c>
      <c r="F4345" s="1">
        <v>43617</v>
      </c>
    </row>
    <row r="4346" spans="1:6" x14ac:dyDescent="0.25">
      <c r="A4346">
        <v>7015401</v>
      </c>
      <c r="B4346" t="s">
        <v>4416</v>
      </c>
      <c r="C4346" t="str">
        <f>""</f>
        <v/>
      </c>
      <c r="D4346" t="str">
        <f>"9783110730104"</f>
        <v>9783110730104</v>
      </c>
      <c r="E4346" t="s">
        <v>73</v>
      </c>
      <c r="F4346" s="1">
        <v>44561</v>
      </c>
    </row>
    <row r="4347" spans="1:6" x14ac:dyDescent="0.25">
      <c r="A4347">
        <v>7015402</v>
      </c>
      <c r="B4347" t="s">
        <v>4417</v>
      </c>
      <c r="C4347" t="str">
        <f>""</f>
        <v/>
      </c>
      <c r="D4347" t="str">
        <f>"9783110614787"</f>
        <v>9783110614787</v>
      </c>
      <c r="E4347" t="s">
        <v>73</v>
      </c>
      <c r="F4347" s="1">
        <v>43774</v>
      </c>
    </row>
    <row r="4348" spans="1:6" x14ac:dyDescent="0.25">
      <c r="A4348">
        <v>7015403</v>
      </c>
      <c r="B4348" t="s">
        <v>4418</v>
      </c>
      <c r="C4348" t="str">
        <f>""</f>
        <v/>
      </c>
      <c r="D4348" t="str">
        <f>"9783110749496"</f>
        <v>9783110749496</v>
      </c>
      <c r="E4348" t="s">
        <v>73</v>
      </c>
      <c r="F4348" s="1">
        <v>44627</v>
      </c>
    </row>
    <row r="4349" spans="1:6" x14ac:dyDescent="0.25">
      <c r="A4349">
        <v>7015404</v>
      </c>
      <c r="B4349" t="s">
        <v>4419</v>
      </c>
      <c r="C4349" t="str">
        <f>""</f>
        <v/>
      </c>
      <c r="D4349" t="str">
        <f>"9783110701876"</f>
        <v>9783110701876</v>
      </c>
      <c r="E4349" t="s">
        <v>73</v>
      </c>
      <c r="F4349" s="1">
        <v>44585</v>
      </c>
    </row>
    <row r="4350" spans="1:6" x14ac:dyDescent="0.25">
      <c r="A4350">
        <v>7015405</v>
      </c>
      <c r="B4350" t="s">
        <v>4420</v>
      </c>
      <c r="C4350" t="str">
        <f>""</f>
        <v/>
      </c>
      <c r="D4350" t="str">
        <f>"9783110758825"</f>
        <v>9783110758825</v>
      </c>
      <c r="E4350" t="s">
        <v>73</v>
      </c>
      <c r="F4350" s="1">
        <v>44592</v>
      </c>
    </row>
    <row r="4351" spans="1:6" x14ac:dyDescent="0.25">
      <c r="A4351">
        <v>7015406</v>
      </c>
      <c r="B4351" t="s">
        <v>4421</v>
      </c>
      <c r="C4351" t="str">
        <f>""</f>
        <v/>
      </c>
      <c r="D4351" t="str">
        <f>"9783110779837"</f>
        <v>9783110779837</v>
      </c>
      <c r="E4351" t="s">
        <v>73</v>
      </c>
      <c r="F4351" s="1">
        <v>44536</v>
      </c>
    </row>
    <row r="4352" spans="1:6" x14ac:dyDescent="0.25">
      <c r="A4352">
        <v>7015407</v>
      </c>
      <c r="B4352" t="s">
        <v>4422</v>
      </c>
      <c r="C4352" t="str">
        <f>""</f>
        <v/>
      </c>
      <c r="D4352" t="str">
        <f>"9783110766851"</f>
        <v>9783110766851</v>
      </c>
      <c r="E4352" t="s">
        <v>73</v>
      </c>
      <c r="F4352" s="1">
        <v>44627</v>
      </c>
    </row>
    <row r="4353" spans="1:6" x14ac:dyDescent="0.25">
      <c r="A4353">
        <v>7015408</v>
      </c>
      <c r="B4353" t="s">
        <v>4423</v>
      </c>
      <c r="C4353" t="str">
        <f>""</f>
        <v/>
      </c>
      <c r="D4353" t="str">
        <f>"9783110763942"</f>
        <v>9783110763942</v>
      </c>
      <c r="E4353" t="s">
        <v>73</v>
      </c>
      <c r="F4353" s="1">
        <v>44613</v>
      </c>
    </row>
    <row r="4354" spans="1:6" x14ac:dyDescent="0.25">
      <c r="A4354">
        <v>7015409</v>
      </c>
      <c r="B4354" t="s">
        <v>4424</v>
      </c>
      <c r="C4354" t="str">
        <f>""</f>
        <v/>
      </c>
      <c r="D4354" t="str">
        <f>"9783110709858"</f>
        <v>9783110709858</v>
      </c>
      <c r="E4354" t="s">
        <v>73</v>
      </c>
      <c r="F4354" s="1">
        <v>44733</v>
      </c>
    </row>
    <row r="4355" spans="1:6" x14ac:dyDescent="0.25">
      <c r="A4355">
        <v>7015410</v>
      </c>
      <c r="B4355" t="s">
        <v>4425</v>
      </c>
      <c r="C4355" t="str">
        <f>""</f>
        <v/>
      </c>
      <c r="D4355" t="str">
        <f>"9783110757408"</f>
        <v>9783110757408</v>
      </c>
      <c r="E4355" t="s">
        <v>73</v>
      </c>
      <c r="F4355" s="1">
        <v>44561</v>
      </c>
    </row>
    <row r="4356" spans="1:6" x14ac:dyDescent="0.25">
      <c r="A4356">
        <v>7015411</v>
      </c>
      <c r="B4356" t="s">
        <v>4426</v>
      </c>
      <c r="C4356" t="str">
        <f>""</f>
        <v/>
      </c>
      <c r="D4356" t="str">
        <f>"9783110757668"</f>
        <v>9783110757668</v>
      </c>
      <c r="E4356" t="s">
        <v>73</v>
      </c>
      <c r="F4356" s="1">
        <v>44651</v>
      </c>
    </row>
    <row r="4357" spans="1:6" x14ac:dyDescent="0.25">
      <c r="A4357">
        <v>7015412</v>
      </c>
      <c r="B4357" t="s">
        <v>4427</v>
      </c>
      <c r="C4357" t="str">
        <f>""</f>
        <v/>
      </c>
      <c r="D4357" t="str">
        <f>"9783110719116"</f>
        <v>9783110719116</v>
      </c>
      <c r="E4357" t="s">
        <v>73</v>
      </c>
      <c r="F4357" s="1">
        <v>44592</v>
      </c>
    </row>
    <row r="4358" spans="1:6" x14ac:dyDescent="0.25">
      <c r="A4358">
        <v>7015413</v>
      </c>
      <c r="B4358" t="s">
        <v>4428</v>
      </c>
      <c r="C4358" t="str">
        <f>""</f>
        <v/>
      </c>
      <c r="D4358" t="str">
        <f>"9783110719055"</f>
        <v>9783110719055</v>
      </c>
      <c r="E4358" t="s">
        <v>73</v>
      </c>
      <c r="F4358" s="1">
        <v>44592</v>
      </c>
    </row>
    <row r="4359" spans="1:6" x14ac:dyDescent="0.25">
      <c r="A4359">
        <v>7015414</v>
      </c>
      <c r="B4359" t="s">
        <v>4429</v>
      </c>
      <c r="C4359" t="str">
        <f>"9783598220302"</f>
        <v>9783598220302</v>
      </c>
      <c r="D4359" t="str">
        <f>"9783598440243"</f>
        <v>9783598440243</v>
      </c>
      <c r="E4359" t="s">
        <v>53</v>
      </c>
      <c r="F4359" s="1">
        <v>39071</v>
      </c>
    </row>
    <row r="4360" spans="1:6" x14ac:dyDescent="0.25">
      <c r="A4360">
        <v>7015415</v>
      </c>
      <c r="B4360" t="s">
        <v>4430</v>
      </c>
      <c r="C4360" t="str">
        <f>""</f>
        <v/>
      </c>
      <c r="D4360" t="str">
        <f>"9783110706611"</f>
        <v>9783110706611</v>
      </c>
      <c r="E4360" t="s">
        <v>73</v>
      </c>
      <c r="F4360" s="1">
        <v>44684</v>
      </c>
    </row>
    <row r="4361" spans="1:6" x14ac:dyDescent="0.25">
      <c r="A4361">
        <v>7015416</v>
      </c>
      <c r="B4361" t="s">
        <v>4431</v>
      </c>
      <c r="C4361" t="str">
        <f>""</f>
        <v/>
      </c>
      <c r="D4361" t="str">
        <f>"9783110707816"</f>
        <v>9783110707816</v>
      </c>
      <c r="E4361" t="s">
        <v>73</v>
      </c>
      <c r="F4361" s="1">
        <v>44718</v>
      </c>
    </row>
    <row r="4362" spans="1:6" x14ac:dyDescent="0.25">
      <c r="A4362">
        <v>7015417</v>
      </c>
      <c r="B4362" t="s">
        <v>4432</v>
      </c>
      <c r="C4362" t="str">
        <f>""</f>
        <v/>
      </c>
      <c r="D4362" t="str">
        <f>"9783110764734"</f>
        <v>9783110764734</v>
      </c>
      <c r="E4362" t="s">
        <v>73</v>
      </c>
      <c r="F4362" s="1">
        <v>44565</v>
      </c>
    </row>
    <row r="4363" spans="1:6" x14ac:dyDescent="0.25">
      <c r="A4363">
        <v>7015418</v>
      </c>
      <c r="B4363" t="s">
        <v>4433</v>
      </c>
      <c r="C4363" t="str">
        <f>""</f>
        <v/>
      </c>
      <c r="D4363" t="str">
        <f>"9783110761658"</f>
        <v>9783110761658</v>
      </c>
      <c r="E4363" t="s">
        <v>73</v>
      </c>
      <c r="F4363" s="1">
        <v>44641</v>
      </c>
    </row>
    <row r="4364" spans="1:6" x14ac:dyDescent="0.25">
      <c r="A4364">
        <v>7015419</v>
      </c>
      <c r="B4364" t="s">
        <v>4434</v>
      </c>
      <c r="C4364" t="str">
        <f>"9783486588576"</f>
        <v>9783486588576</v>
      </c>
      <c r="D4364" t="str">
        <f>"9783486707465"</f>
        <v>9783486707465</v>
      </c>
      <c r="E4364" t="s">
        <v>73</v>
      </c>
      <c r="F4364" s="1">
        <v>39869</v>
      </c>
    </row>
    <row r="4365" spans="1:6" x14ac:dyDescent="0.25">
      <c r="A4365">
        <v>7015420</v>
      </c>
      <c r="B4365" t="s">
        <v>4435</v>
      </c>
      <c r="C4365" t="str">
        <f>""</f>
        <v/>
      </c>
      <c r="D4365" t="str">
        <f>"9783110760828"</f>
        <v>9783110760828</v>
      </c>
      <c r="E4365" t="s">
        <v>73</v>
      </c>
      <c r="F4365" s="1">
        <v>44655</v>
      </c>
    </row>
    <row r="4366" spans="1:6" x14ac:dyDescent="0.25">
      <c r="A4366">
        <v>7015421</v>
      </c>
      <c r="B4366" t="s">
        <v>4436</v>
      </c>
      <c r="C4366" t="str">
        <f>""</f>
        <v/>
      </c>
      <c r="D4366" t="str">
        <f>"9783110756029"</f>
        <v>9783110756029</v>
      </c>
      <c r="E4366" t="s">
        <v>73</v>
      </c>
      <c r="F4366" s="1">
        <v>44669</v>
      </c>
    </row>
    <row r="4367" spans="1:6" x14ac:dyDescent="0.25">
      <c r="A4367">
        <v>7015422</v>
      </c>
      <c r="B4367" t="s">
        <v>4437</v>
      </c>
      <c r="C4367" t="str">
        <f>""</f>
        <v/>
      </c>
      <c r="D4367" t="str">
        <f>"9783486757248"</f>
        <v>9783486757248</v>
      </c>
      <c r="E4367" t="s">
        <v>73</v>
      </c>
      <c r="F4367" s="1">
        <v>10594</v>
      </c>
    </row>
    <row r="4368" spans="1:6" x14ac:dyDescent="0.25">
      <c r="A4368">
        <v>7015423</v>
      </c>
      <c r="B4368" t="s">
        <v>4438</v>
      </c>
      <c r="C4368" t="str">
        <f>""</f>
        <v/>
      </c>
      <c r="D4368" t="str">
        <f>"9783486754407"</f>
        <v>9783486754407</v>
      </c>
      <c r="E4368" t="s">
        <v>73</v>
      </c>
      <c r="F4368" s="1">
        <v>9863</v>
      </c>
    </row>
    <row r="4369" spans="1:6" x14ac:dyDescent="0.25">
      <c r="A4369">
        <v>7015424</v>
      </c>
      <c r="B4369" t="s">
        <v>4439</v>
      </c>
      <c r="C4369" t="str">
        <f>""</f>
        <v/>
      </c>
      <c r="D4369" t="str">
        <f>"9788366675612"</f>
        <v>9788366675612</v>
      </c>
      <c r="E4369" t="s">
        <v>73</v>
      </c>
      <c r="F4369" s="1">
        <v>44613</v>
      </c>
    </row>
    <row r="4370" spans="1:6" x14ac:dyDescent="0.25">
      <c r="A4370">
        <v>7015425</v>
      </c>
      <c r="B4370" t="s">
        <v>4440</v>
      </c>
      <c r="C4370" t="str">
        <f>""</f>
        <v/>
      </c>
      <c r="D4370" t="str">
        <f>"9783110762877"</f>
        <v>9783110762877</v>
      </c>
      <c r="E4370" t="s">
        <v>73</v>
      </c>
      <c r="F4370" s="1">
        <v>44592</v>
      </c>
    </row>
    <row r="4371" spans="1:6" x14ac:dyDescent="0.25">
      <c r="A4371">
        <v>7015426</v>
      </c>
      <c r="B4371" t="s">
        <v>4441</v>
      </c>
      <c r="C4371" t="str">
        <f>""</f>
        <v/>
      </c>
      <c r="D4371" t="str">
        <f>"9783110752748"</f>
        <v>9783110752748</v>
      </c>
      <c r="E4371" t="s">
        <v>73</v>
      </c>
      <c r="F4371" s="1">
        <v>44613</v>
      </c>
    </row>
    <row r="4372" spans="1:6" x14ac:dyDescent="0.25">
      <c r="A4372">
        <v>7015427</v>
      </c>
      <c r="B4372" t="s">
        <v>4442</v>
      </c>
      <c r="C4372" t="str">
        <f>""</f>
        <v/>
      </c>
      <c r="D4372" t="str">
        <f>"9783110746396"</f>
        <v>9783110746396</v>
      </c>
      <c r="E4372" t="s">
        <v>73</v>
      </c>
      <c r="F4372" s="1">
        <v>44704</v>
      </c>
    </row>
    <row r="4373" spans="1:6" x14ac:dyDescent="0.25">
      <c r="A4373">
        <v>7015428</v>
      </c>
      <c r="B4373" t="s">
        <v>4443</v>
      </c>
      <c r="C4373" t="str">
        <f>""</f>
        <v/>
      </c>
      <c r="D4373" t="str">
        <f>"9783110725339"</f>
        <v>9783110725339</v>
      </c>
      <c r="E4373" t="s">
        <v>73</v>
      </c>
      <c r="F4373" s="1">
        <v>44592</v>
      </c>
    </row>
    <row r="4374" spans="1:6" x14ac:dyDescent="0.25">
      <c r="A4374">
        <v>7015429</v>
      </c>
      <c r="B4374" t="s">
        <v>4444</v>
      </c>
      <c r="C4374" t="str">
        <f>""</f>
        <v/>
      </c>
      <c r="D4374" t="str">
        <f>"9783110784312"</f>
        <v>9783110784312</v>
      </c>
      <c r="E4374" t="s">
        <v>73</v>
      </c>
      <c r="F4374" s="1">
        <v>44733</v>
      </c>
    </row>
    <row r="4375" spans="1:6" x14ac:dyDescent="0.25">
      <c r="A4375">
        <v>7015430</v>
      </c>
      <c r="B4375" t="s">
        <v>4445</v>
      </c>
      <c r="C4375" t="str">
        <f>""</f>
        <v/>
      </c>
      <c r="D4375" t="str">
        <f>"9783110706833"</f>
        <v>9783110706833</v>
      </c>
      <c r="E4375" t="s">
        <v>73</v>
      </c>
      <c r="F4375" s="1">
        <v>44733</v>
      </c>
    </row>
    <row r="4376" spans="1:6" x14ac:dyDescent="0.25">
      <c r="A4376">
        <v>7015431</v>
      </c>
      <c r="B4376" t="s">
        <v>4446</v>
      </c>
      <c r="C4376" t="str">
        <f>""</f>
        <v/>
      </c>
      <c r="D4376" t="str">
        <f>"9783110759891"</f>
        <v>9783110759891</v>
      </c>
      <c r="E4376" t="s">
        <v>73</v>
      </c>
      <c r="F4376" s="1">
        <v>44522</v>
      </c>
    </row>
    <row r="4377" spans="1:6" x14ac:dyDescent="0.25">
      <c r="A4377">
        <v>7015432</v>
      </c>
      <c r="B4377" t="s">
        <v>4447</v>
      </c>
      <c r="C4377" t="str">
        <f>""</f>
        <v/>
      </c>
      <c r="D4377" t="str">
        <f>"9783110747171"</f>
        <v>9783110747171</v>
      </c>
      <c r="E4377" t="s">
        <v>73</v>
      </c>
      <c r="F4377" s="1">
        <v>44704</v>
      </c>
    </row>
    <row r="4378" spans="1:6" x14ac:dyDescent="0.25">
      <c r="A4378">
        <v>7015433</v>
      </c>
      <c r="B4378" t="s">
        <v>4448</v>
      </c>
      <c r="C4378" t="str">
        <f>""</f>
        <v/>
      </c>
      <c r="D4378" t="str">
        <f>"9783110732221"</f>
        <v>9783110732221</v>
      </c>
      <c r="E4378" t="s">
        <v>73</v>
      </c>
      <c r="F4378" s="1">
        <v>44550</v>
      </c>
    </row>
    <row r="4379" spans="1:6" x14ac:dyDescent="0.25">
      <c r="A4379">
        <v>7015434</v>
      </c>
      <c r="B4379" t="s">
        <v>4449</v>
      </c>
      <c r="C4379" t="str">
        <f>""</f>
        <v/>
      </c>
      <c r="D4379" t="str">
        <f>"9783110751321"</f>
        <v>9783110751321</v>
      </c>
      <c r="E4379" t="s">
        <v>73</v>
      </c>
      <c r="F4379" s="1">
        <v>44718</v>
      </c>
    </row>
    <row r="4380" spans="1:6" x14ac:dyDescent="0.25">
      <c r="A4380">
        <v>7015435</v>
      </c>
      <c r="B4380" t="s">
        <v>4450</v>
      </c>
      <c r="C4380" t="str">
        <f>""</f>
        <v/>
      </c>
      <c r="D4380" t="str">
        <f>"9783110719109"</f>
        <v>9783110719109</v>
      </c>
      <c r="E4380" t="s">
        <v>73</v>
      </c>
      <c r="F4380" s="1">
        <v>44592</v>
      </c>
    </row>
    <row r="4381" spans="1:6" x14ac:dyDescent="0.25">
      <c r="A4381">
        <v>7015436</v>
      </c>
      <c r="B4381" t="s">
        <v>4451</v>
      </c>
      <c r="C4381" t="str">
        <f>""</f>
        <v/>
      </c>
      <c r="D4381" t="str">
        <f>"9783110719093"</f>
        <v>9783110719093</v>
      </c>
      <c r="E4381" t="s">
        <v>73</v>
      </c>
      <c r="F4381" s="1">
        <v>44592</v>
      </c>
    </row>
    <row r="4382" spans="1:6" x14ac:dyDescent="0.25">
      <c r="A4382">
        <v>7015437</v>
      </c>
      <c r="B4382" t="s">
        <v>4452</v>
      </c>
      <c r="C4382" t="str">
        <f>""</f>
        <v/>
      </c>
      <c r="D4382" t="str">
        <f>"9783110726213"</f>
        <v>9783110726213</v>
      </c>
      <c r="E4382" t="s">
        <v>73</v>
      </c>
      <c r="F4382" s="1">
        <v>44550</v>
      </c>
    </row>
    <row r="4383" spans="1:6" x14ac:dyDescent="0.25">
      <c r="A4383">
        <v>7015438</v>
      </c>
      <c r="B4383" t="s">
        <v>4453</v>
      </c>
      <c r="C4383" t="str">
        <f>""</f>
        <v/>
      </c>
      <c r="D4383" t="str">
        <f>"9783110770506"</f>
        <v>9783110770506</v>
      </c>
      <c r="E4383" t="s">
        <v>73</v>
      </c>
      <c r="F4383" s="1">
        <v>44684</v>
      </c>
    </row>
    <row r="4384" spans="1:6" x14ac:dyDescent="0.25">
      <c r="A4384">
        <v>7015439</v>
      </c>
      <c r="B4384" t="s">
        <v>4454</v>
      </c>
      <c r="C4384" t="str">
        <f>""</f>
        <v/>
      </c>
      <c r="D4384" t="str">
        <f>"9783110751055"</f>
        <v>9783110751055</v>
      </c>
      <c r="E4384" t="s">
        <v>73</v>
      </c>
      <c r="F4384" s="1">
        <v>44729</v>
      </c>
    </row>
    <row r="4385" spans="1:6" x14ac:dyDescent="0.25">
      <c r="A4385">
        <v>7015440</v>
      </c>
      <c r="B4385" t="s">
        <v>4455</v>
      </c>
      <c r="C4385" t="str">
        <f>""</f>
        <v/>
      </c>
      <c r="D4385" t="str">
        <f>"9783110776492"</f>
        <v>9783110776492</v>
      </c>
      <c r="E4385" t="s">
        <v>73</v>
      </c>
      <c r="F4385" s="1">
        <v>44655</v>
      </c>
    </row>
    <row r="4386" spans="1:6" x14ac:dyDescent="0.25">
      <c r="A4386">
        <v>7015441</v>
      </c>
      <c r="B4386" t="s">
        <v>4456</v>
      </c>
      <c r="C4386" t="str">
        <f>""</f>
        <v/>
      </c>
      <c r="D4386" t="str">
        <f>"9783110719130"</f>
        <v>9783110719130</v>
      </c>
      <c r="E4386" t="s">
        <v>73</v>
      </c>
      <c r="F4386" s="1">
        <v>44592</v>
      </c>
    </row>
    <row r="4387" spans="1:6" x14ac:dyDescent="0.25">
      <c r="A4387">
        <v>7015442</v>
      </c>
      <c r="B4387" t="s">
        <v>4457</v>
      </c>
      <c r="C4387" t="str">
        <f>""</f>
        <v/>
      </c>
      <c r="D4387" t="str">
        <f>"9783110771008"</f>
        <v>9783110771008</v>
      </c>
      <c r="E4387" t="s">
        <v>73</v>
      </c>
      <c r="F4387" s="1">
        <v>44718</v>
      </c>
    </row>
    <row r="4388" spans="1:6" x14ac:dyDescent="0.25">
      <c r="A4388">
        <v>7015443</v>
      </c>
      <c r="B4388" t="s">
        <v>4458</v>
      </c>
      <c r="C4388" t="str">
        <f>""</f>
        <v/>
      </c>
      <c r="D4388" t="str">
        <f>"9783110719147"</f>
        <v>9783110719147</v>
      </c>
      <c r="E4388" t="s">
        <v>73</v>
      </c>
      <c r="F4388" s="1">
        <v>44592</v>
      </c>
    </row>
    <row r="4389" spans="1:6" x14ac:dyDescent="0.25">
      <c r="A4389">
        <v>7015444</v>
      </c>
      <c r="B4389" t="s">
        <v>4459</v>
      </c>
      <c r="C4389" t="str">
        <f>""</f>
        <v/>
      </c>
      <c r="D4389" t="str">
        <f>"9783422986480"</f>
        <v>9783422986480</v>
      </c>
      <c r="E4389" t="s">
        <v>2404</v>
      </c>
      <c r="F4389" s="1">
        <v>44592</v>
      </c>
    </row>
    <row r="4390" spans="1:6" x14ac:dyDescent="0.25">
      <c r="A4390">
        <v>7015445</v>
      </c>
      <c r="B4390" t="s">
        <v>4460</v>
      </c>
      <c r="C4390" t="str">
        <f>""</f>
        <v/>
      </c>
      <c r="D4390" t="str">
        <f>"9783110711349"</f>
        <v>9783110711349</v>
      </c>
      <c r="E4390" t="s">
        <v>73</v>
      </c>
      <c r="F4390" s="1">
        <v>44592</v>
      </c>
    </row>
    <row r="4391" spans="1:6" x14ac:dyDescent="0.25">
      <c r="A4391">
        <v>7015447</v>
      </c>
      <c r="B4391" t="s">
        <v>4461</v>
      </c>
      <c r="C4391" t="str">
        <f>""</f>
        <v/>
      </c>
      <c r="D4391" t="str">
        <f>"9783110552621"</f>
        <v>9783110552621</v>
      </c>
      <c r="E4391" t="s">
        <v>73</v>
      </c>
      <c r="F4391" s="1">
        <v>44592</v>
      </c>
    </row>
    <row r="4392" spans="1:6" x14ac:dyDescent="0.25">
      <c r="A4392">
        <v>7015448</v>
      </c>
      <c r="B4392" t="s">
        <v>4462</v>
      </c>
      <c r="C4392" t="str">
        <f>""</f>
        <v/>
      </c>
      <c r="D4392" t="str">
        <f>"9783110655315"</f>
        <v>9783110655315</v>
      </c>
      <c r="E4392" t="s">
        <v>73</v>
      </c>
      <c r="F4392" s="1">
        <v>44550</v>
      </c>
    </row>
    <row r="4393" spans="1:6" x14ac:dyDescent="0.25">
      <c r="A4393">
        <v>7015449</v>
      </c>
      <c r="B4393" t="s">
        <v>4463</v>
      </c>
      <c r="C4393" t="str">
        <f>""</f>
        <v/>
      </c>
      <c r="D4393" t="str">
        <f>"9783110688696"</f>
        <v>9783110688696</v>
      </c>
      <c r="E4393" t="s">
        <v>73</v>
      </c>
      <c r="F4393" s="1">
        <v>44561</v>
      </c>
    </row>
    <row r="4394" spans="1:6" x14ac:dyDescent="0.25">
      <c r="A4394">
        <v>7015450</v>
      </c>
      <c r="B4394" t="s">
        <v>4464</v>
      </c>
      <c r="C4394" t="str">
        <f>""</f>
        <v/>
      </c>
      <c r="D4394" t="str">
        <f>"9783110719079"</f>
        <v>9783110719079</v>
      </c>
      <c r="E4394" t="s">
        <v>73</v>
      </c>
      <c r="F4394" s="1">
        <v>44592</v>
      </c>
    </row>
    <row r="4395" spans="1:6" x14ac:dyDescent="0.25">
      <c r="A4395">
        <v>7015451</v>
      </c>
      <c r="B4395" t="s">
        <v>4465</v>
      </c>
      <c r="C4395" t="str">
        <f>""</f>
        <v/>
      </c>
      <c r="D4395" t="str">
        <f>"9783110741117"</f>
        <v>9783110741117</v>
      </c>
      <c r="E4395" t="s">
        <v>73</v>
      </c>
      <c r="F4395" s="1">
        <v>44561</v>
      </c>
    </row>
    <row r="4396" spans="1:6" x14ac:dyDescent="0.25">
      <c r="A4396">
        <v>7015453</v>
      </c>
      <c r="B4396" t="s">
        <v>4466</v>
      </c>
      <c r="C4396" t="str">
        <f>""</f>
        <v/>
      </c>
      <c r="D4396" t="str">
        <f>"9783110730210"</f>
        <v>9783110730210</v>
      </c>
      <c r="E4396" t="s">
        <v>73</v>
      </c>
      <c r="F4396" s="1">
        <v>44641</v>
      </c>
    </row>
    <row r="4397" spans="1:6" x14ac:dyDescent="0.25">
      <c r="A4397">
        <v>7015454</v>
      </c>
      <c r="B4397" t="s">
        <v>4467</v>
      </c>
      <c r="C4397" t="str">
        <f>""</f>
        <v/>
      </c>
      <c r="D4397" t="str">
        <f>"9783110770957"</f>
        <v>9783110770957</v>
      </c>
      <c r="E4397" t="s">
        <v>73</v>
      </c>
      <c r="F4397" s="1">
        <v>44669</v>
      </c>
    </row>
    <row r="4398" spans="1:6" x14ac:dyDescent="0.25">
      <c r="A4398">
        <v>7015456</v>
      </c>
      <c r="B4398" t="s">
        <v>4468</v>
      </c>
      <c r="C4398" t="str">
        <f>""</f>
        <v/>
      </c>
      <c r="D4398" t="str">
        <f>"9783035624052"</f>
        <v>9783035624052</v>
      </c>
      <c r="E4398" t="s">
        <v>73</v>
      </c>
      <c r="F4398" s="1">
        <v>44651</v>
      </c>
    </row>
    <row r="4399" spans="1:6" x14ac:dyDescent="0.25">
      <c r="A4399">
        <v>7015457</v>
      </c>
      <c r="B4399" t="s">
        <v>4469</v>
      </c>
      <c r="C4399" t="str">
        <f>""</f>
        <v/>
      </c>
      <c r="D4399" t="str">
        <f>"9783110769029"</f>
        <v>9783110769029</v>
      </c>
      <c r="E4399" t="s">
        <v>73</v>
      </c>
      <c r="F4399" s="1">
        <v>44613</v>
      </c>
    </row>
    <row r="4400" spans="1:6" x14ac:dyDescent="0.25">
      <c r="A4400">
        <v>7015458</v>
      </c>
      <c r="B4400" t="s">
        <v>4470</v>
      </c>
      <c r="C4400" t="str">
        <f>""</f>
        <v/>
      </c>
      <c r="D4400" t="str">
        <f>"9783110733501"</f>
        <v>9783110733501</v>
      </c>
      <c r="E4400" t="s">
        <v>73</v>
      </c>
      <c r="F4400" s="1">
        <v>44718</v>
      </c>
    </row>
    <row r="4401" spans="1:6" x14ac:dyDescent="0.25">
      <c r="A4401">
        <v>7015459</v>
      </c>
      <c r="B4401" t="s">
        <v>4471</v>
      </c>
      <c r="C4401" t="str">
        <f>"9783598218446"</f>
        <v>9783598218446</v>
      </c>
      <c r="D4401" t="str">
        <f>"9783598440168"</f>
        <v>9783598440168</v>
      </c>
      <c r="E4401" t="s">
        <v>53</v>
      </c>
      <c r="F4401" s="1">
        <v>38565</v>
      </c>
    </row>
    <row r="4402" spans="1:6" x14ac:dyDescent="0.25">
      <c r="A4402">
        <v>7015460</v>
      </c>
      <c r="B4402" t="s">
        <v>4472</v>
      </c>
      <c r="C4402" t="str">
        <f>""</f>
        <v/>
      </c>
      <c r="D4402" t="str">
        <f>"9783110775730"</f>
        <v>9783110775730</v>
      </c>
      <c r="E4402" t="s">
        <v>73</v>
      </c>
      <c r="F4402" s="1">
        <v>44655</v>
      </c>
    </row>
    <row r="4403" spans="1:6" x14ac:dyDescent="0.25">
      <c r="A4403">
        <v>7015461</v>
      </c>
      <c r="B4403" t="s">
        <v>4473</v>
      </c>
      <c r="C4403" t="str">
        <f>""</f>
        <v/>
      </c>
      <c r="D4403" t="str">
        <f>"9783110761108"</f>
        <v>9783110761108</v>
      </c>
      <c r="E4403" t="s">
        <v>73</v>
      </c>
      <c r="F4403" s="1">
        <v>44561</v>
      </c>
    </row>
    <row r="4404" spans="1:6" x14ac:dyDescent="0.25">
      <c r="A4404">
        <v>7015462</v>
      </c>
      <c r="B4404" t="s">
        <v>4474</v>
      </c>
      <c r="C4404" t="str">
        <f>""</f>
        <v/>
      </c>
      <c r="D4404" t="str">
        <f>"9783486741803"</f>
        <v>9783486741803</v>
      </c>
      <c r="E4404" t="s">
        <v>73</v>
      </c>
      <c r="F4404" s="1">
        <v>4750</v>
      </c>
    </row>
    <row r="4405" spans="1:6" x14ac:dyDescent="0.25">
      <c r="A4405">
        <v>7015463</v>
      </c>
      <c r="B4405" t="s">
        <v>4475</v>
      </c>
      <c r="C4405" t="str">
        <f>""</f>
        <v/>
      </c>
      <c r="D4405" t="str">
        <f>"9783110714739"</f>
        <v>9783110714739</v>
      </c>
      <c r="E4405" t="s">
        <v>73</v>
      </c>
      <c r="F4405" s="1">
        <v>44620</v>
      </c>
    </row>
    <row r="4406" spans="1:6" x14ac:dyDescent="0.25">
      <c r="A4406">
        <v>7015464</v>
      </c>
      <c r="B4406" t="s">
        <v>4476</v>
      </c>
      <c r="C4406" t="str">
        <f>""</f>
        <v/>
      </c>
      <c r="D4406" t="str">
        <f>"9783110762341"</f>
        <v>9783110762341</v>
      </c>
      <c r="E4406" t="s">
        <v>73</v>
      </c>
      <c r="F4406" s="1">
        <v>44613</v>
      </c>
    </row>
    <row r="4407" spans="1:6" x14ac:dyDescent="0.25">
      <c r="A4407">
        <v>7015465</v>
      </c>
      <c r="B4407" t="s">
        <v>4477</v>
      </c>
      <c r="C4407" t="str">
        <f>""</f>
        <v/>
      </c>
      <c r="D4407" t="str">
        <f>"9783110667004"</f>
        <v>9783110667004</v>
      </c>
      <c r="E4407" t="s">
        <v>73</v>
      </c>
      <c r="F4407" s="1">
        <v>44550</v>
      </c>
    </row>
    <row r="4408" spans="1:6" x14ac:dyDescent="0.25">
      <c r="A4408">
        <v>7015466</v>
      </c>
      <c r="B4408" t="s">
        <v>4478</v>
      </c>
      <c r="C4408" t="str">
        <f>""</f>
        <v/>
      </c>
      <c r="D4408" t="str">
        <f>"9783110752397"</f>
        <v>9783110752397</v>
      </c>
      <c r="E4408" t="s">
        <v>73</v>
      </c>
      <c r="F4408" s="1">
        <v>44592</v>
      </c>
    </row>
    <row r="4409" spans="1:6" x14ac:dyDescent="0.25">
      <c r="A4409">
        <v>7015467</v>
      </c>
      <c r="B4409" t="s">
        <v>4479</v>
      </c>
      <c r="C4409" t="str">
        <f>""</f>
        <v/>
      </c>
      <c r="D4409" t="str">
        <f>"9783110719062"</f>
        <v>9783110719062</v>
      </c>
      <c r="E4409" t="s">
        <v>73</v>
      </c>
      <c r="F4409" s="1">
        <v>44592</v>
      </c>
    </row>
    <row r="4410" spans="1:6" x14ac:dyDescent="0.25">
      <c r="A4410">
        <v>7015468</v>
      </c>
      <c r="B4410" t="s">
        <v>4480</v>
      </c>
      <c r="C4410" t="str">
        <f>""</f>
        <v/>
      </c>
      <c r="D4410" t="str">
        <f>"9783110736076"</f>
        <v>9783110736076</v>
      </c>
      <c r="E4410" t="s">
        <v>73</v>
      </c>
      <c r="F4410" s="1">
        <v>44718</v>
      </c>
    </row>
    <row r="4411" spans="1:6" x14ac:dyDescent="0.25">
      <c r="A4411">
        <v>7015469</v>
      </c>
      <c r="B4411" t="s">
        <v>4481</v>
      </c>
      <c r="C4411" t="str">
        <f>""</f>
        <v/>
      </c>
      <c r="D4411" t="str">
        <f>"9783110707847"</f>
        <v>9783110707847</v>
      </c>
      <c r="E4411" t="s">
        <v>73</v>
      </c>
      <c r="F4411" s="1">
        <v>44561</v>
      </c>
    </row>
    <row r="4412" spans="1:6" x14ac:dyDescent="0.25">
      <c r="A4412">
        <v>7015471</v>
      </c>
      <c r="B4412" t="s">
        <v>4482</v>
      </c>
      <c r="C4412" t="str">
        <f>""</f>
        <v/>
      </c>
      <c r="D4412" t="str">
        <f>"9783110747614"</f>
        <v>9783110747614</v>
      </c>
      <c r="E4412" t="s">
        <v>73</v>
      </c>
      <c r="F4412" s="1">
        <v>44620</v>
      </c>
    </row>
    <row r="4413" spans="1:6" x14ac:dyDescent="0.25">
      <c r="A4413">
        <v>7015472</v>
      </c>
      <c r="B4413" t="s">
        <v>4483</v>
      </c>
      <c r="C4413" t="str">
        <f>""</f>
        <v/>
      </c>
      <c r="D4413" t="str">
        <f>"9783110752908"</f>
        <v>9783110752908</v>
      </c>
      <c r="E4413" t="s">
        <v>73</v>
      </c>
      <c r="F4413" s="1">
        <v>44704</v>
      </c>
    </row>
    <row r="4414" spans="1:6" x14ac:dyDescent="0.25">
      <c r="A4414">
        <v>7015473</v>
      </c>
      <c r="B4414" t="s">
        <v>4484</v>
      </c>
      <c r="C4414" t="str">
        <f>""</f>
        <v/>
      </c>
      <c r="D4414" t="str">
        <f>"9783110763119"</f>
        <v>9783110763119</v>
      </c>
      <c r="E4414" t="s">
        <v>73</v>
      </c>
      <c r="F4414" s="1">
        <v>44550</v>
      </c>
    </row>
    <row r="4415" spans="1:6" x14ac:dyDescent="0.25">
      <c r="A4415">
        <v>7015474</v>
      </c>
      <c r="B4415" t="s">
        <v>4485</v>
      </c>
      <c r="C4415" t="str">
        <f>""</f>
        <v/>
      </c>
      <c r="D4415" t="str">
        <f>"9783110719123"</f>
        <v>9783110719123</v>
      </c>
      <c r="E4415" t="s">
        <v>73</v>
      </c>
      <c r="F4415" s="1">
        <v>44592</v>
      </c>
    </row>
    <row r="4416" spans="1:6" x14ac:dyDescent="0.25">
      <c r="A4416">
        <v>7015475</v>
      </c>
      <c r="B4416" t="s">
        <v>4486</v>
      </c>
      <c r="C4416" t="str">
        <f>""</f>
        <v/>
      </c>
      <c r="D4416" t="str">
        <f>"9783110719017"</f>
        <v>9783110719017</v>
      </c>
      <c r="E4416" t="s">
        <v>73</v>
      </c>
      <c r="F4416" s="1">
        <v>44592</v>
      </c>
    </row>
    <row r="4417" spans="1:6" x14ac:dyDescent="0.25">
      <c r="A4417">
        <v>7015476</v>
      </c>
      <c r="B4417" t="s">
        <v>4487</v>
      </c>
      <c r="C4417" t="str">
        <f>""</f>
        <v/>
      </c>
      <c r="D4417" t="str">
        <f>"9783110607642"</f>
        <v>9783110607642</v>
      </c>
      <c r="E4417" t="s">
        <v>73</v>
      </c>
      <c r="F4417" s="1">
        <v>44550</v>
      </c>
    </row>
    <row r="4418" spans="1:6" x14ac:dyDescent="0.25">
      <c r="A4418">
        <v>7015477</v>
      </c>
      <c r="B4418" t="s">
        <v>4488</v>
      </c>
      <c r="C4418" t="str">
        <f>""</f>
        <v/>
      </c>
      <c r="D4418" t="str">
        <f>"9783110701869"</f>
        <v>9783110701869</v>
      </c>
      <c r="E4418" t="s">
        <v>73</v>
      </c>
      <c r="F4418" s="1">
        <v>44718</v>
      </c>
    </row>
    <row r="4419" spans="1:6" x14ac:dyDescent="0.25">
      <c r="A4419">
        <v>7015478</v>
      </c>
      <c r="B4419" t="s">
        <v>4489</v>
      </c>
      <c r="C4419" t="str">
        <f>""</f>
        <v/>
      </c>
      <c r="D4419" t="str">
        <f>"9783110751963"</f>
        <v>9783110751963</v>
      </c>
      <c r="E4419" t="s">
        <v>73</v>
      </c>
      <c r="F4419" s="1">
        <v>44718</v>
      </c>
    </row>
    <row r="4420" spans="1:6" x14ac:dyDescent="0.25">
      <c r="A4420">
        <v>7015479</v>
      </c>
      <c r="B4420" t="s">
        <v>4490</v>
      </c>
      <c r="C4420" t="str">
        <f>""</f>
        <v/>
      </c>
      <c r="D4420" t="str">
        <f>"9783110764062"</f>
        <v>9783110764062</v>
      </c>
      <c r="E4420" t="s">
        <v>73</v>
      </c>
      <c r="F4420" s="1">
        <v>44592</v>
      </c>
    </row>
    <row r="4421" spans="1:6" x14ac:dyDescent="0.25">
      <c r="A4421">
        <v>7015482</v>
      </c>
      <c r="B4421" t="s">
        <v>4491</v>
      </c>
      <c r="C4421" t="str">
        <f>""</f>
        <v/>
      </c>
      <c r="D4421" t="str">
        <f>"9783110732887"</f>
        <v>9783110732887</v>
      </c>
      <c r="E4421" t="s">
        <v>73</v>
      </c>
      <c r="F4421" s="1">
        <v>44704</v>
      </c>
    </row>
    <row r="4422" spans="1:6" x14ac:dyDescent="0.25">
      <c r="A4422">
        <v>7015483</v>
      </c>
      <c r="B4422" t="s">
        <v>4492</v>
      </c>
      <c r="C4422" t="str">
        <f>""</f>
        <v/>
      </c>
      <c r="D4422" t="str">
        <f>"9783110719086"</f>
        <v>9783110719086</v>
      </c>
      <c r="E4422" t="s">
        <v>73</v>
      </c>
      <c r="F4422" s="1">
        <v>44592</v>
      </c>
    </row>
    <row r="4423" spans="1:6" x14ac:dyDescent="0.25">
      <c r="A4423">
        <v>7015484</v>
      </c>
      <c r="B4423" t="s">
        <v>4493</v>
      </c>
      <c r="C4423" t="str">
        <f>""</f>
        <v/>
      </c>
      <c r="D4423" t="str">
        <f>"9783110726435"</f>
        <v>9783110726435</v>
      </c>
      <c r="E4423" t="s">
        <v>73</v>
      </c>
      <c r="F4423" s="1">
        <v>44592</v>
      </c>
    </row>
    <row r="4424" spans="1:6" x14ac:dyDescent="0.25">
      <c r="A4424">
        <v>7015485</v>
      </c>
      <c r="B4424" t="s">
        <v>4494</v>
      </c>
      <c r="C4424" t="str">
        <f>""</f>
        <v/>
      </c>
      <c r="D4424" t="str">
        <f>"9781501516016"</f>
        <v>9781501516016</v>
      </c>
      <c r="E4424" t="s">
        <v>4495</v>
      </c>
      <c r="F4424" s="1">
        <v>44718</v>
      </c>
    </row>
    <row r="4425" spans="1:6" x14ac:dyDescent="0.25">
      <c r="A4425">
        <v>7015486</v>
      </c>
      <c r="B4425" t="s">
        <v>4496</v>
      </c>
      <c r="C4425" t="str">
        <f>""</f>
        <v/>
      </c>
      <c r="D4425" t="str">
        <f>"9783110771800"</f>
        <v>9783110771800</v>
      </c>
      <c r="E4425" t="s">
        <v>73</v>
      </c>
      <c r="F4425" s="1">
        <v>44704</v>
      </c>
    </row>
    <row r="4426" spans="1:6" x14ac:dyDescent="0.25">
      <c r="A4426">
        <v>7015487</v>
      </c>
      <c r="B4426" t="s">
        <v>4497</v>
      </c>
      <c r="C4426" t="str">
        <f>""</f>
        <v/>
      </c>
      <c r="D4426" t="str">
        <f>"9783110760361"</f>
        <v>9783110760361</v>
      </c>
      <c r="E4426" t="s">
        <v>73</v>
      </c>
      <c r="F4426" s="1">
        <v>44641</v>
      </c>
    </row>
    <row r="4427" spans="1:6" x14ac:dyDescent="0.25">
      <c r="A4427">
        <v>7015488</v>
      </c>
      <c r="B4427" t="s">
        <v>4498</v>
      </c>
      <c r="C4427" t="str">
        <f>""</f>
        <v/>
      </c>
      <c r="D4427" t="str">
        <f>"9783110761061"</f>
        <v>9783110761061</v>
      </c>
      <c r="E4427" t="s">
        <v>73</v>
      </c>
      <c r="F4427" s="1">
        <v>44742</v>
      </c>
    </row>
    <row r="4428" spans="1:6" x14ac:dyDescent="0.25">
      <c r="A4428">
        <v>7015489</v>
      </c>
      <c r="B4428" t="s">
        <v>4499</v>
      </c>
      <c r="C4428" t="str">
        <f>""</f>
        <v/>
      </c>
      <c r="D4428" t="str">
        <f>"9783110752410"</f>
        <v>9783110752410</v>
      </c>
      <c r="E4428" t="s">
        <v>73</v>
      </c>
      <c r="F4428" s="1">
        <v>44592</v>
      </c>
    </row>
    <row r="4429" spans="1:6" x14ac:dyDescent="0.25">
      <c r="A4429">
        <v>7015490</v>
      </c>
      <c r="B4429" t="s">
        <v>4500</v>
      </c>
      <c r="C4429" t="str">
        <f>""</f>
        <v/>
      </c>
      <c r="D4429" t="str">
        <f>"9783110721447"</f>
        <v>9783110721447</v>
      </c>
      <c r="E4429" t="s">
        <v>73</v>
      </c>
      <c r="F4429" s="1">
        <v>44718</v>
      </c>
    </row>
    <row r="4430" spans="1:6" x14ac:dyDescent="0.25">
      <c r="A4430">
        <v>7015491</v>
      </c>
      <c r="B4430" t="s">
        <v>4501</v>
      </c>
      <c r="C4430" t="str">
        <f>""</f>
        <v/>
      </c>
      <c r="D4430" t="str">
        <f>"9783110752205"</f>
        <v>9783110752205</v>
      </c>
      <c r="E4430" t="s">
        <v>73</v>
      </c>
      <c r="F4430" s="1">
        <v>44641</v>
      </c>
    </row>
    <row r="4431" spans="1:6" x14ac:dyDescent="0.25">
      <c r="A4431">
        <v>7015492</v>
      </c>
      <c r="B4431" t="s">
        <v>4502</v>
      </c>
      <c r="C4431" t="str">
        <f>""</f>
        <v/>
      </c>
      <c r="D4431" t="str">
        <f>"9783110680942"</f>
        <v>9783110680942</v>
      </c>
      <c r="E4431" t="s">
        <v>73</v>
      </c>
      <c r="F4431" s="1">
        <v>44561</v>
      </c>
    </row>
    <row r="4432" spans="1:6" x14ac:dyDescent="0.25">
      <c r="A4432">
        <v>7015493</v>
      </c>
      <c r="B4432" t="s">
        <v>4503</v>
      </c>
      <c r="C4432" t="str">
        <f>""</f>
        <v/>
      </c>
      <c r="D4432" t="str">
        <f>"9783110767711"</f>
        <v>9783110767711</v>
      </c>
      <c r="E4432" t="s">
        <v>73</v>
      </c>
      <c r="F4432" s="1">
        <v>44561</v>
      </c>
    </row>
    <row r="4433" spans="1:6" x14ac:dyDescent="0.25">
      <c r="A4433">
        <v>7015494</v>
      </c>
      <c r="B4433" t="s">
        <v>4504</v>
      </c>
      <c r="C4433" t="str">
        <f>""</f>
        <v/>
      </c>
      <c r="D4433" t="str">
        <f>"9783110765113"</f>
        <v>9783110765113</v>
      </c>
      <c r="E4433" t="s">
        <v>73</v>
      </c>
      <c r="F4433" s="1">
        <v>44592</v>
      </c>
    </row>
    <row r="4434" spans="1:6" x14ac:dyDescent="0.25">
      <c r="A4434">
        <v>7015495</v>
      </c>
      <c r="B4434" t="s">
        <v>4505</v>
      </c>
      <c r="C4434" t="str">
        <f>""</f>
        <v/>
      </c>
      <c r="D4434" t="str">
        <f>"9783486769265"</f>
        <v>9783486769265</v>
      </c>
      <c r="E4434" t="s">
        <v>73</v>
      </c>
      <c r="F4434" s="1">
        <v>13971</v>
      </c>
    </row>
    <row r="4435" spans="1:6" x14ac:dyDescent="0.25">
      <c r="A4435">
        <v>7015496</v>
      </c>
      <c r="B4435" t="s">
        <v>4506</v>
      </c>
      <c r="C4435" t="str">
        <f>"9783110203066"</f>
        <v>9783110203066</v>
      </c>
      <c r="D4435" t="str">
        <f>"9783110972948"</f>
        <v>9783110972948</v>
      </c>
      <c r="E4435" t="s">
        <v>73</v>
      </c>
      <c r="F4435" s="1">
        <v>39644</v>
      </c>
    </row>
    <row r="4436" spans="1:6" x14ac:dyDescent="0.25">
      <c r="A4436">
        <v>7015497</v>
      </c>
      <c r="B4436" t="s">
        <v>4507</v>
      </c>
      <c r="C4436" t="str">
        <f>""</f>
        <v/>
      </c>
      <c r="D4436" t="str">
        <f>"9783110663792"</f>
        <v>9783110663792</v>
      </c>
      <c r="E4436" t="s">
        <v>73</v>
      </c>
      <c r="F4436" s="1">
        <v>44032</v>
      </c>
    </row>
    <row r="4437" spans="1:6" x14ac:dyDescent="0.25">
      <c r="A4437">
        <v>7015501</v>
      </c>
      <c r="B4437" t="s">
        <v>4508</v>
      </c>
      <c r="C4437" t="str">
        <f>"9781802070491"</f>
        <v>9781802070491</v>
      </c>
      <c r="D4437" t="str">
        <f>"9781802070927"</f>
        <v>9781802070927</v>
      </c>
      <c r="E4437" t="s">
        <v>1287</v>
      </c>
      <c r="F4437" s="1">
        <v>44743</v>
      </c>
    </row>
    <row r="4438" spans="1:6" x14ac:dyDescent="0.25">
      <c r="A4438">
        <v>7015822</v>
      </c>
      <c r="B4438" t="s">
        <v>4509</v>
      </c>
      <c r="C4438" t="str">
        <f>"9783031081682"</f>
        <v>9783031081682</v>
      </c>
      <c r="D4438" t="str">
        <f>"9783031081699"</f>
        <v>9783031081699</v>
      </c>
      <c r="E4438" t="s">
        <v>756</v>
      </c>
      <c r="F4438" s="1">
        <v>44761</v>
      </c>
    </row>
    <row r="4439" spans="1:6" x14ac:dyDescent="0.25">
      <c r="A4439">
        <v>7016579</v>
      </c>
      <c r="B4439" t="s">
        <v>4510</v>
      </c>
      <c r="C4439" t="str">
        <f>"9783031048838"</f>
        <v>9783031048838</v>
      </c>
      <c r="D4439" t="str">
        <f>"9783031048845"</f>
        <v>9783031048845</v>
      </c>
      <c r="E4439" t="s">
        <v>756</v>
      </c>
      <c r="F4439" s="1">
        <v>44727</v>
      </c>
    </row>
    <row r="4440" spans="1:6" x14ac:dyDescent="0.25">
      <c r="A4440">
        <v>7017512</v>
      </c>
      <c r="B4440" t="s">
        <v>4511</v>
      </c>
      <c r="C4440" t="str">
        <f>"9783030983505"</f>
        <v>9783030983505</v>
      </c>
      <c r="D4440" t="str">
        <f>"9783030983512"</f>
        <v>9783030983512</v>
      </c>
      <c r="E4440" t="s">
        <v>756</v>
      </c>
      <c r="F4440" s="1">
        <v>44752</v>
      </c>
    </row>
    <row r="4441" spans="1:6" x14ac:dyDescent="0.25">
      <c r="A4441">
        <v>7018096</v>
      </c>
      <c r="B4441" t="s">
        <v>4512</v>
      </c>
      <c r="C4441" t="str">
        <f>"9783030980795"</f>
        <v>9783030980795</v>
      </c>
      <c r="D4441" t="str">
        <f>"9783030980801"</f>
        <v>9783030980801</v>
      </c>
      <c r="E4441" t="s">
        <v>756</v>
      </c>
      <c r="F4441" s="1">
        <v>44728</v>
      </c>
    </row>
    <row r="4442" spans="1:6" x14ac:dyDescent="0.25">
      <c r="A4442">
        <v>7018107</v>
      </c>
      <c r="B4442" t="s">
        <v>4513</v>
      </c>
      <c r="C4442" t="str">
        <f>"9783030970116"</f>
        <v>9783030970116</v>
      </c>
      <c r="D4442" t="str">
        <f>"9783030970123"</f>
        <v>9783030970123</v>
      </c>
      <c r="E4442" t="s">
        <v>756</v>
      </c>
      <c r="F4442" s="1">
        <v>44774</v>
      </c>
    </row>
    <row r="4443" spans="1:6" x14ac:dyDescent="0.25">
      <c r="A4443">
        <v>7018111</v>
      </c>
      <c r="B4443" t="s">
        <v>4514</v>
      </c>
      <c r="C4443" t="str">
        <f>"9783030956820"</f>
        <v>9783030956820</v>
      </c>
      <c r="D4443" t="str">
        <f>"9783030956837"</f>
        <v>9783030956837</v>
      </c>
      <c r="E4443" t="s">
        <v>756</v>
      </c>
      <c r="F4443" s="1">
        <v>44766</v>
      </c>
    </row>
    <row r="4444" spans="1:6" x14ac:dyDescent="0.25">
      <c r="A4444">
        <v>7018191</v>
      </c>
      <c r="B4444" t="s">
        <v>4515</v>
      </c>
      <c r="C4444" t="str">
        <f>"9780472075447"</f>
        <v>9780472075447</v>
      </c>
      <c r="D4444" t="str">
        <f>"9780472902873"</f>
        <v>9780472902873</v>
      </c>
      <c r="E4444" t="s">
        <v>689</v>
      </c>
      <c r="F4444" s="1">
        <v>44781</v>
      </c>
    </row>
    <row r="4445" spans="1:6" x14ac:dyDescent="0.25">
      <c r="A4445">
        <v>7018666</v>
      </c>
      <c r="B4445" t="s">
        <v>4516</v>
      </c>
      <c r="C4445" t="str">
        <f>"9783031052750"</f>
        <v>9783031052750</v>
      </c>
      <c r="D4445" t="str">
        <f>"9783031052767"</f>
        <v>9783031052767</v>
      </c>
      <c r="E4445" t="s">
        <v>756</v>
      </c>
      <c r="F4445" s="1">
        <v>44790</v>
      </c>
    </row>
    <row r="4446" spans="1:6" x14ac:dyDescent="0.25">
      <c r="A4446">
        <v>7018786</v>
      </c>
      <c r="B4446" t="s">
        <v>4517</v>
      </c>
      <c r="C4446" t="str">
        <f>"9783030939854"</f>
        <v>9783030939854</v>
      </c>
      <c r="D4446" t="str">
        <f>"9783030939861"</f>
        <v>9783030939861</v>
      </c>
      <c r="E4446" t="s">
        <v>756</v>
      </c>
      <c r="F4446" s="1">
        <v>44771</v>
      </c>
    </row>
    <row r="4447" spans="1:6" x14ac:dyDescent="0.25">
      <c r="A4447">
        <v>7018938</v>
      </c>
      <c r="B4447" t="s">
        <v>4518</v>
      </c>
      <c r="C4447" t="str">
        <f>"9783031012327"</f>
        <v>9783031012327</v>
      </c>
      <c r="D4447" t="str">
        <f>"9783031012334"</f>
        <v>9783031012334</v>
      </c>
      <c r="E4447" t="s">
        <v>756</v>
      </c>
      <c r="F4447" s="1">
        <v>44775</v>
      </c>
    </row>
    <row r="4448" spans="1:6" x14ac:dyDescent="0.25">
      <c r="A4448">
        <v>7018967</v>
      </c>
      <c r="B4448" t="s">
        <v>4519</v>
      </c>
      <c r="C4448" t="str">
        <f>"9783031054655"</f>
        <v>9783031054655</v>
      </c>
      <c r="D4448" t="str">
        <f>"9783031054662"</f>
        <v>9783031054662</v>
      </c>
      <c r="E4448" t="s">
        <v>756</v>
      </c>
      <c r="F4448" s="1">
        <v>44794</v>
      </c>
    </row>
    <row r="4449" spans="1:6" x14ac:dyDescent="0.25">
      <c r="A4449">
        <v>7019590</v>
      </c>
      <c r="B4449" t="s">
        <v>4520</v>
      </c>
      <c r="C4449" t="str">
        <f>""</f>
        <v/>
      </c>
      <c r="D4449" t="str">
        <f>"9783110765533"</f>
        <v>9783110765533</v>
      </c>
      <c r="E4449" t="s">
        <v>73</v>
      </c>
      <c r="F4449" s="1">
        <v>44718</v>
      </c>
    </row>
    <row r="4450" spans="1:6" x14ac:dyDescent="0.25">
      <c r="A4450">
        <v>7020108</v>
      </c>
      <c r="B4450" t="s">
        <v>4521</v>
      </c>
      <c r="C4450" t="str">
        <f>"9783030989880"</f>
        <v>9783030989880</v>
      </c>
      <c r="D4450" t="str">
        <f>"9783030989897"</f>
        <v>9783030989897</v>
      </c>
      <c r="E4450" t="s">
        <v>756</v>
      </c>
      <c r="F4450" s="1">
        <v>44773</v>
      </c>
    </row>
    <row r="4451" spans="1:6" x14ac:dyDescent="0.25">
      <c r="A4451">
        <v>7020126</v>
      </c>
      <c r="B4451" t="s">
        <v>4522</v>
      </c>
      <c r="C4451" t="str">
        <f>"9783030986391"</f>
        <v>9783030986391</v>
      </c>
      <c r="D4451" t="str">
        <f>"9783030986407"</f>
        <v>9783030986407</v>
      </c>
      <c r="E4451" t="s">
        <v>756</v>
      </c>
      <c r="F4451" s="1">
        <v>44763</v>
      </c>
    </row>
    <row r="4452" spans="1:6" x14ac:dyDescent="0.25">
      <c r="A4452">
        <v>7020131</v>
      </c>
      <c r="B4452" t="s">
        <v>4523</v>
      </c>
      <c r="C4452" t="str">
        <f>"9783030960520"</f>
        <v>9783030960520</v>
      </c>
      <c r="D4452" t="str">
        <f>"9783030960537"</f>
        <v>9783030960537</v>
      </c>
      <c r="E4452" t="s">
        <v>756</v>
      </c>
      <c r="F4452" s="1">
        <v>44752</v>
      </c>
    </row>
    <row r="4453" spans="1:6" x14ac:dyDescent="0.25">
      <c r="A4453">
        <v>7020803</v>
      </c>
      <c r="B4453" t="s">
        <v>4524</v>
      </c>
      <c r="C4453" t="str">
        <f>"9783031095924"</f>
        <v>9783031095924</v>
      </c>
      <c r="D4453" t="str">
        <f>"9783031095931"</f>
        <v>9783031095931</v>
      </c>
      <c r="E4453" t="s">
        <v>756</v>
      </c>
      <c r="F4453" s="1">
        <v>44734</v>
      </c>
    </row>
    <row r="4454" spans="1:6" x14ac:dyDescent="0.25">
      <c r="A4454">
        <v>7020823</v>
      </c>
      <c r="B4454" t="s">
        <v>4525</v>
      </c>
      <c r="C4454" t="str">
        <f>"9783030977214"</f>
        <v>9783030977214</v>
      </c>
      <c r="D4454" t="str">
        <f>"9783030977221"</f>
        <v>9783030977221</v>
      </c>
      <c r="E4454" t="s">
        <v>756</v>
      </c>
      <c r="F4454" s="1">
        <v>44765</v>
      </c>
    </row>
    <row r="4455" spans="1:6" x14ac:dyDescent="0.25">
      <c r="A4455">
        <v>7021194</v>
      </c>
      <c r="B4455" t="s">
        <v>4526</v>
      </c>
      <c r="C4455" t="str">
        <f>"9783030982898"</f>
        <v>9783030982898</v>
      </c>
      <c r="D4455" t="str">
        <f>"9783030982904"</f>
        <v>9783030982904</v>
      </c>
      <c r="E4455" t="s">
        <v>756</v>
      </c>
      <c r="F4455" s="1">
        <v>44735</v>
      </c>
    </row>
    <row r="4456" spans="1:6" x14ac:dyDescent="0.25">
      <c r="A4456">
        <v>7021221</v>
      </c>
      <c r="B4456" t="s">
        <v>4527</v>
      </c>
      <c r="C4456" t="str">
        <f>"9783031080197"</f>
        <v>9783031080197</v>
      </c>
      <c r="D4456" t="str">
        <f>"9783031080203"</f>
        <v>9783031080203</v>
      </c>
      <c r="E4456" t="s">
        <v>756</v>
      </c>
      <c r="F4456" s="1">
        <v>44735</v>
      </c>
    </row>
    <row r="4457" spans="1:6" x14ac:dyDescent="0.25">
      <c r="A4457">
        <v>7021566</v>
      </c>
      <c r="B4457" t="s">
        <v>4528</v>
      </c>
      <c r="C4457" t="str">
        <f>"9783031039553"</f>
        <v>9783031039553</v>
      </c>
      <c r="D4457" t="str">
        <f>"9783031039560"</f>
        <v>9783031039560</v>
      </c>
      <c r="E4457" t="s">
        <v>756</v>
      </c>
      <c r="F4457" s="1">
        <v>44777</v>
      </c>
    </row>
    <row r="4458" spans="1:6" x14ac:dyDescent="0.25">
      <c r="A4458">
        <v>7021573</v>
      </c>
      <c r="B4458" t="s">
        <v>4529</v>
      </c>
      <c r="C4458" t="str">
        <f>"9789811919497"</f>
        <v>9789811919497</v>
      </c>
      <c r="D4458" t="str">
        <f>"9789811919503"</f>
        <v>9789811919503</v>
      </c>
      <c r="E4458" t="s">
        <v>885</v>
      </c>
      <c r="F4458" s="1">
        <v>44764</v>
      </c>
    </row>
    <row r="4459" spans="1:6" x14ac:dyDescent="0.25">
      <c r="A4459">
        <v>7021723</v>
      </c>
      <c r="B4459" t="s">
        <v>4530</v>
      </c>
      <c r="C4459" t="str">
        <f>"9783110620542"</f>
        <v>9783110620542</v>
      </c>
      <c r="D4459" t="str">
        <f>"9783110620580"</f>
        <v>9783110620580</v>
      </c>
      <c r="E4459" t="s">
        <v>73</v>
      </c>
      <c r="F4459" s="1">
        <v>43354</v>
      </c>
    </row>
    <row r="4460" spans="1:6" x14ac:dyDescent="0.25">
      <c r="A4460">
        <v>7021980</v>
      </c>
      <c r="B4460" t="s">
        <v>4531</v>
      </c>
      <c r="C4460" t="str">
        <f>""</f>
        <v/>
      </c>
      <c r="D4460" t="str">
        <f>"9783035624168"</f>
        <v>9783035624168</v>
      </c>
      <c r="E4460" t="s">
        <v>73</v>
      </c>
      <c r="F4460" s="1">
        <v>44773</v>
      </c>
    </row>
    <row r="4461" spans="1:6" x14ac:dyDescent="0.25">
      <c r="A4461">
        <v>7021983</v>
      </c>
      <c r="B4461" t="s">
        <v>4532</v>
      </c>
      <c r="C4461" t="str">
        <f>""</f>
        <v/>
      </c>
      <c r="D4461" t="str">
        <f>"9783110757835"</f>
        <v>9783110757835</v>
      </c>
      <c r="E4461" t="s">
        <v>53</v>
      </c>
      <c r="F4461" s="1">
        <v>44747</v>
      </c>
    </row>
    <row r="4462" spans="1:6" x14ac:dyDescent="0.25">
      <c r="A4462">
        <v>7021989</v>
      </c>
      <c r="B4462" t="s">
        <v>4533</v>
      </c>
      <c r="C4462" t="str">
        <f>""</f>
        <v/>
      </c>
      <c r="D4462" t="str">
        <f>"9783110692754"</f>
        <v>9783110692754</v>
      </c>
      <c r="E4462" t="s">
        <v>73</v>
      </c>
      <c r="F4462" s="1">
        <v>44760</v>
      </c>
    </row>
    <row r="4463" spans="1:6" x14ac:dyDescent="0.25">
      <c r="A4463">
        <v>7021993</v>
      </c>
      <c r="B4463" t="s">
        <v>4534</v>
      </c>
      <c r="C4463" t="str">
        <f>""</f>
        <v/>
      </c>
      <c r="D4463" t="str">
        <f>"9783110786279"</f>
        <v>9783110786279</v>
      </c>
      <c r="E4463" t="s">
        <v>73</v>
      </c>
      <c r="F4463" s="1">
        <v>44749</v>
      </c>
    </row>
    <row r="4464" spans="1:6" x14ac:dyDescent="0.25">
      <c r="A4464">
        <v>7021995</v>
      </c>
      <c r="B4464" t="s">
        <v>4535</v>
      </c>
      <c r="C4464" t="str">
        <f>""</f>
        <v/>
      </c>
      <c r="D4464" t="str">
        <f>"9783035624243"</f>
        <v>9783035624243</v>
      </c>
      <c r="E4464" t="s">
        <v>73</v>
      </c>
      <c r="F4464" s="1">
        <v>44773</v>
      </c>
    </row>
    <row r="4465" spans="1:6" x14ac:dyDescent="0.25">
      <c r="A4465">
        <v>7022018</v>
      </c>
      <c r="B4465" t="s">
        <v>4536</v>
      </c>
      <c r="C4465" t="str">
        <f>""</f>
        <v/>
      </c>
      <c r="D4465" t="str">
        <f>"9783035625882"</f>
        <v>9783035625882</v>
      </c>
      <c r="E4465" t="s">
        <v>73</v>
      </c>
      <c r="F4465" s="1">
        <v>44804</v>
      </c>
    </row>
    <row r="4466" spans="1:6" x14ac:dyDescent="0.25">
      <c r="A4466">
        <v>7022530</v>
      </c>
      <c r="B4466" t="s">
        <v>4537</v>
      </c>
      <c r="C4466" t="str">
        <f>"9783031088476"</f>
        <v>9783031088476</v>
      </c>
      <c r="D4466" t="str">
        <f>"9783031088483"</f>
        <v>9783031088483</v>
      </c>
      <c r="E4466" t="s">
        <v>756</v>
      </c>
      <c r="F4466" s="1">
        <v>44729</v>
      </c>
    </row>
    <row r="4467" spans="1:6" x14ac:dyDescent="0.25">
      <c r="A4467">
        <v>7023507</v>
      </c>
      <c r="B4467" t="s">
        <v>4538</v>
      </c>
      <c r="C4467" t="str">
        <f>"9783031021077"</f>
        <v>9783031021077</v>
      </c>
      <c r="D4467" t="str">
        <f>"9783031021084"</f>
        <v>9783031021084</v>
      </c>
      <c r="E4467" t="s">
        <v>756</v>
      </c>
      <c r="F4467" s="1">
        <v>44781</v>
      </c>
    </row>
    <row r="4468" spans="1:6" x14ac:dyDescent="0.25">
      <c r="A4468">
        <v>7024359</v>
      </c>
      <c r="B4468" t="s">
        <v>4539</v>
      </c>
      <c r="C4468" t="str">
        <f>"9783031055652"</f>
        <v>9783031055652</v>
      </c>
      <c r="D4468" t="str">
        <f>"9783031055669"</f>
        <v>9783031055669</v>
      </c>
      <c r="E4468" t="s">
        <v>756</v>
      </c>
      <c r="F4468" s="1">
        <v>44741</v>
      </c>
    </row>
    <row r="4469" spans="1:6" x14ac:dyDescent="0.25">
      <c r="A4469">
        <v>7024384</v>
      </c>
      <c r="B4469" t="s">
        <v>4540</v>
      </c>
      <c r="C4469" t="str">
        <f>"9783030915964"</f>
        <v>9783030915964</v>
      </c>
      <c r="D4469" t="str">
        <f>"9783030915971"</f>
        <v>9783030915971</v>
      </c>
      <c r="E4469" t="s">
        <v>756</v>
      </c>
      <c r="F4469" s="1">
        <v>44741</v>
      </c>
    </row>
    <row r="4470" spans="1:6" x14ac:dyDescent="0.25">
      <c r="A4470">
        <v>7024388</v>
      </c>
      <c r="B4470" t="s">
        <v>4541</v>
      </c>
      <c r="C4470" t="str">
        <f>"9783031039379"</f>
        <v>9783031039379</v>
      </c>
      <c r="D4470" t="str">
        <f>"9783031039386"</f>
        <v>9783031039386</v>
      </c>
      <c r="E4470" t="s">
        <v>756</v>
      </c>
      <c r="F4470" s="1">
        <v>44741</v>
      </c>
    </row>
    <row r="4471" spans="1:6" x14ac:dyDescent="0.25">
      <c r="A4471">
        <v>7024403</v>
      </c>
      <c r="B4471" t="s">
        <v>4542</v>
      </c>
      <c r="C4471" t="str">
        <f>"9789027211170"</f>
        <v>9789027211170</v>
      </c>
      <c r="D4471" t="str">
        <f>"9789027257697"</f>
        <v>9789027257697</v>
      </c>
      <c r="E4471" t="s">
        <v>413</v>
      </c>
      <c r="F4471" s="1">
        <v>44777</v>
      </c>
    </row>
    <row r="4472" spans="1:6" x14ac:dyDescent="0.25">
      <c r="A4472">
        <v>7024715</v>
      </c>
      <c r="B4472" t="s">
        <v>4543</v>
      </c>
      <c r="C4472" t="str">
        <f>"9783837631197"</f>
        <v>9783837631197</v>
      </c>
      <c r="D4472" t="str">
        <f>"9783839431191"</f>
        <v>9783839431191</v>
      </c>
      <c r="E4472" t="s">
        <v>2798</v>
      </c>
      <c r="F4472" s="1">
        <v>44682</v>
      </c>
    </row>
    <row r="4473" spans="1:6" x14ac:dyDescent="0.25">
      <c r="A4473">
        <v>7024717</v>
      </c>
      <c r="B4473" t="s">
        <v>4544</v>
      </c>
      <c r="C4473" t="str">
        <f>"9783837650600"</f>
        <v>9783837650600</v>
      </c>
      <c r="D4473" t="str">
        <f>"9783839450604"</f>
        <v>9783839450604</v>
      </c>
      <c r="E4473" t="s">
        <v>2798</v>
      </c>
      <c r="F4473" s="1">
        <v>44713</v>
      </c>
    </row>
    <row r="4474" spans="1:6" x14ac:dyDescent="0.25">
      <c r="A4474">
        <v>7024721</v>
      </c>
      <c r="B4474" t="s">
        <v>4545</v>
      </c>
      <c r="C4474" t="str">
        <f>"9783837653359"</f>
        <v>9783837653359</v>
      </c>
      <c r="D4474" t="str">
        <f>"9783839453353"</f>
        <v>9783839453353</v>
      </c>
      <c r="E4474" t="s">
        <v>2798</v>
      </c>
      <c r="F4474" s="1">
        <v>44713</v>
      </c>
    </row>
    <row r="4475" spans="1:6" x14ac:dyDescent="0.25">
      <c r="A4475">
        <v>7024724</v>
      </c>
      <c r="B4475" t="s">
        <v>4546</v>
      </c>
      <c r="C4475" t="str">
        <f>"9783837654998"</f>
        <v>9783837654998</v>
      </c>
      <c r="D4475" t="str">
        <f>"9783839454992"</f>
        <v>9783839454992</v>
      </c>
      <c r="E4475" t="s">
        <v>2798</v>
      </c>
      <c r="F4475" s="1">
        <v>44652</v>
      </c>
    </row>
    <row r="4476" spans="1:6" x14ac:dyDescent="0.25">
      <c r="A4476">
        <v>7024727</v>
      </c>
      <c r="B4476" t="s">
        <v>4547</v>
      </c>
      <c r="C4476" t="str">
        <f>"9783837655575"</f>
        <v>9783837655575</v>
      </c>
      <c r="D4476" t="str">
        <f>"9783839455579"</f>
        <v>9783839455579</v>
      </c>
      <c r="E4476" t="s">
        <v>2798</v>
      </c>
      <c r="F4476" s="1">
        <v>44621</v>
      </c>
    </row>
    <row r="4477" spans="1:6" x14ac:dyDescent="0.25">
      <c r="A4477">
        <v>7024728</v>
      </c>
      <c r="B4477" t="s">
        <v>4548</v>
      </c>
      <c r="C4477" t="str">
        <f>"9783743555846"</f>
        <v>9783743555846</v>
      </c>
      <c r="D4477" t="str">
        <f>"9783839455845"</f>
        <v>9783839455845</v>
      </c>
      <c r="E4477" t="s">
        <v>2798</v>
      </c>
      <c r="F4477" s="1">
        <v>44652</v>
      </c>
    </row>
    <row r="4478" spans="1:6" x14ac:dyDescent="0.25">
      <c r="A4478">
        <v>7024729</v>
      </c>
      <c r="B4478" t="s">
        <v>4549</v>
      </c>
      <c r="C4478" t="str">
        <f>"9783837656008"</f>
        <v>9783837656008</v>
      </c>
      <c r="D4478" t="str">
        <f>"9783839456002"</f>
        <v>9783839456002</v>
      </c>
      <c r="E4478" t="s">
        <v>2798</v>
      </c>
      <c r="F4478" s="1">
        <v>44621</v>
      </c>
    </row>
    <row r="4479" spans="1:6" x14ac:dyDescent="0.25">
      <c r="A4479">
        <v>7024730</v>
      </c>
      <c r="B4479" t="s">
        <v>4550</v>
      </c>
      <c r="C4479" t="str">
        <f>"9783837656015"</f>
        <v>9783837656015</v>
      </c>
      <c r="D4479" t="str">
        <f>"9783839456019"</f>
        <v>9783839456019</v>
      </c>
      <c r="E4479" t="s">
        <v>2798</v>
      </c>
      <c r="F4479" s="1">
        <v>44621</v>
      </c>
    </row>
    <row r="4480" spans="1:6" x14ac:dyDescent="0.25">
      <c r="A4480">
        <v>7024732</v>
      </c>
      <c r="B4480" t="s">
        <v>4551</v>
      </c>
      <c r="C4480" t="str">
        <f>"9783732856640"</f>
        <v>9783732856640</v>
      </c>
      <c r="D4480" t="str">
        <f>"9783839456644"</f>
        <v>9783839456644</v>
      </c>
      <c r="E4480" t="s">
        <v>2798</v>
      </c>
      <c r="F4480" s="1">
        <v>44652</v>
      </c>
    </row>
    <row r="4481" spans="1:6" x14ac:dyDescent="0.25">
      <c r="A4481">
        <v>7024735</v>
      </c>
      <c r="B4481" t="s">
        <v>4552</v>
      </c>
      <c r="C4481" t="str">
        <f>"9783837656848"</f>
        <v>9783837656848</v>
      </c>
      <c r="D4481" t="str">
        <f>"9783839456842"</f>
        <v>9783839456842</v>
      </c>
      <c r="E4481" t="s">
        <v>2798</v>
      </c>
      <c r="F4481" s="1">
        <v>44652</v>
      </c>
    </row>
    <row r="4482" spans="1:6" x14ac:dyDescent="0.25">
      <c r="A4482">
        <v>7024736</v>
      </c>
      <c r="B4482" t="s">
        <v>4553</v>
      </c>
      <c r="C4482" t="str">
        <f>"9783837657012"</f>
        <v>9783837657012</v>
      </c>
      <c r="D4482" t="str">
        <f>"9783839457016"</f>
        <v>9783839457016</v>
      </c>
      <c r="E4482" t="s">
        <v>2798</v>
      </c>
      <c r="F4482" s="1">
        <v>44713</v>
      </c>
    </row>
    <row r="4483" spans="1:6" x14ac:dyDescent="0.25">
      <c r="A4483">
        <v>7024737</v>
      </c>
      <c r="B4483" t="s">
        <v>4554</v>
      </c>
      <c r="C4483" t="str">
        <f>"9783837657050"</f>
        <v>9783837657050</v>
      </c>
      <c r="D4483" t="str">
        <f>"9783839457054"</f>
        <v>9783839457054</v>
      </c>
      <c r="E4483" t="s">
        <v>2798</v>
      </c>
      <c r="F4483" s="1">
        <v>44652</v>
      </c>
    </row>
    <row r="4484" spans="1:6" x14ac:dyDescent="0.25">
      <c r="A4484">
        <v>7024738</v>
      </c>
      <c r="B4484" t="s">
        <v>4555</v>
      </c>
      <c r="C4484" t="str">
        <f>"9783837657074"</f>
        <v>9783837657074</v>
      </c>
      <c r="D4484" t="str">
        <f>"9783839457078"</f>
        <v>9783839457078</v>
      </c>
      <c r="E4484" t="s">
        <v>2798</v>
      </c>
      <c r="F4484" s="1">
        <v>44682</v>
      </c>
    </row>
    <row r="4485" spans="1:6" x14ac:dyDescent="0.25">
      <c r="A4485">
        <v>7024740</v>
      </c>
      <c r="B4485" t="s">
        <v>4556</v>
      </c>
      <c r="C4485" t="str">
        <f>"9783837657876"</f>
        <v>9783837657876</v>
      </c>
      <c r="D4485" t="str">
        <f>"9783839457870"</f>
        <v>9783839457870</v>
      </c>
      <c r="E4485" t="s">
        <v>2798</v>
      </c>
      <c r="F4485" s="1">
        <v>44621</v>
      </c>
    </row>
    <row r="4486" spans="1:6" x14ac:dyDescent="0.25">
      <c r="A4486">
        <v>7024742</v>
      </c>
      <c r="B4486" t="s">
        <v>4557</v>
      </c>
      <c r="C4486" t="str">
        <f>"9783837657951"</f>
        <v>9783837657951</v>
      </c>
      <c r="D4486" t="str">
        <f>"9783839457955"</f>
        <v>9783839457955</v>
      </c>
      <c r="E4486" t="s">
        <v>2798</v>
      </c>
      <c r="F4486" s="1">
        <v>44682</v>
      </c>
    </row>
    <row r="4487" spans="1:6" x14ac:dyDescent="0.25">
      <c r="A4487">
        <v>7024743</v>
      </c>
      <c r="B4487" t="s">
        <v>4558</v>
      </c>
      <c r="C4487" t="str">
        <f>"9783837658071"</f>
        <v>9783837658071</v>
      </c>
      <c r="D4487" t="str">
        <f>"9783839458075"</f>
        <v>9783839458075</v>
      </c>
      <c r="E4487" t="s">
        <v>2798</v>
      </c>
      <c r="F4487" s="1">
        <v>44621</v>
      </c>
    </row>
    <row r="4488" spans="1:6" x14ac:dyDescent="0.25">
      <c r="A4488">
        <v>7024744</v>
      </c>
      <c r="B4488" t="s">
        <v>4559</v>
      </c>
      <c r="C4488" t="str">
        <f>"9783837658507"</f>
        <v>9783837658507</v>
      </c>
      <c r="D4488" t="str">
        <f>"9783839458501"</f>
        <v>9783839458501</v>
      </c>
      <c r="E4488" t="s">
        <v>2798</v>
      </c>
      <c r="F4488" s="1">
        <v>44621</v>
      </c>
    </row>
    <row r="4489" spans="1:6" x14ac:dyDescent="0.25">
      <c r="A4489">
        <v>7024745</v>
      </c>
      <c r="B4489" t="s">
        <v>4560</v>
      </c>
      <c r="C4489" t="str">
        <f>"9783837658521"</f>
        <v>9783837658521</v>
      </c>
      <c r="D4489" t="str">
        <f>"9783839458525"</f>
        <v>9783839458525</v>
      </c>
      <c r="E4489" t="s">
        <v>2798</v>
      </c>
      <c r="F4489" s="1">
        <v>44652</v>
      </c>
    </row>
    <row r="4490" spans="1:6" x14ac:dyDescent="0.25">
      <c r="A4490">
        <v>7024746</v>
      </c>
      <c r="B4490" t="s">
        <v>4561</v>
      </c>
      <c r="C4490" t="str">
        <f>"9783837658866"</f>
        <v>9783837658866</v>
      </c>
      <c r="D4490" t="str">
        <f>"9783839458860"</f>
        <v>9783839458860</v>
      </c>
      <c r="E4490" t="s">
        <v>2798</v>
      </c>
      <c r="F4490" s="1">
        <v>44652</v>
      </c>
    </row>
    <row r="4491" spans="1:6" x14ac:dyDescent="0.25">
      <c r="A4491">
        <v>7024747</v>
      </c>
      <c r="B4491" t="s">
        <v>4562</v>
      </c>
      <c r="C4491" t="str">
        <f>"9783837659078"</f>
        <v>9783837659078</v>
      </c>
      <c r="D4491" t="str">
        <f>"9783839459072"</f>
        <v>9783839459072</v>
      </c>
      <c r="E4491" t="s">
        <v>2798</v>
      </c>
      <c r="F4491" s="1">
        <v>44713</v>
      </c>
    </row>
    <row r="4492" spans="1:6" x14ac:dyDescent="0.25">
      <c r="A4492">
        <v>7024748</v>
      </c>
      <c r="B4492" t="s">
        <v>4563</v>
      </c>
      <c r="C4492" t="str">
        <f>"9783837659290"</f>
        <v>9783837659290</v>
      </c>
      <c r="D4492" t="str">
        <f>"9783839459294"</f>
        <v>9783839459294</v>
      </c>
      <c r="E4492" t="s">
        <v>2798</v>
      </c>
      <c r="F4492" s="1">
        <v>44713</v>
      </c>
    </row>
    <row r="4493" spans="1:6" x14ac:dyDescent="0.25">
      <c r="A4493">
        <v>7024751</v>
      </c>
      <c r="B4493" t="s">
        <v>4564</v>
      </c>
      <c r="C4493" t="str">
        <f>"9783837659733"</f>
        <v>9783837659733</v>
      </c>
      <c r="D4493" t="str">
        <f>"9783839459737"</f>
        <v>9783839459737</v>
      </c>
      <c r="E4493" t="s">
        <v>2798</v>
      </c>
      <c r="F4493" s="1">
        <v>44682</v>
      </c>
    </row>
    <row r="4494" spans="1:6" x14ac:dyDescent="0.25">
      <c r="A4494">
        <v>7024752</v>
      </c>
      <c r="B4494" t="s">
        <v>4565</v>
      </c>
      <c r="C4494" t="str">
        <f>"9783837659849"</f>
        <v>9783837659849</v>
      </c>
      <c r="D4494" t="str">
        <f>"9783839459843"</f>
        <v>9783839459843</v>
      </c>
      <c r="E4494" t="s">
        <v>2798</v>
      </c>
      <c r="F4494" s="1">
        <v>44652</v>
      </c>
    </row>
    <row r="4495" spans="1:6" x14ac:dyDescent="0.25">
      <c r="A4495">
        <v>7024753</v>
      </c>
      <c r="B4495" t="s">
        <v>4566</v>
      </c>
      <c r="C4495" t="str">
        <f>"9783837659856"</f>
        <v>9783837659856</v>
      </c>
      <c r="D4495" t="str">
        <f>"9783839459850"</f>
        <v>9783839459850</v>
      </c>
      <c r="E4495" t="s">
        <v>2798</v>
      </c>
      <c r="F4495" s="1">
        <v>44713</v>
      </c>
    </row>
    <row r="4496" spans="1:6" x14ac:dyDescent="0.25">
      <c r="A4496">
        <v>7024755</v>
      </c>
      <c r="B4496" t="s">
        <v>4567</v>
      </c>
      <c r="C4496" t="str">
        <f>"9783837660098"</f>
        <v>9783837660098</v>
      </c>
      <c r="D4496" t="str">
        <f>"9783839460092"</f>
        <v>9783839460092</v>
      </c>
      <c r="E4496" t="s">
        <v>2798</v>
      </c>
      <c r="F4496" s="1">
        <v>44621</v>
      </c>
    </row>
    <row r="4497" spans="1:6" x14ac:dyDescent="0.25">
      <c r="A4497">
        <v>7024759</v>
      </c>
      <c r="B4497" t="s">
        <v>4568</v>
      </c>
      <c r="C4497" t="str">
        <f>"9783732860340"</f>
        <v>9783732860340</v>
      </c>
      <c r="D4497" t="str">
        <f>"9783839460344"</f>
        <v>9783839460344</v>
      </c>
      <c r="E4497" t="s">
        <v>2798</v>
      </c>
      <c r="F4497" s="1">
        <v>44713</v>
      </c>
    </row>
    <row r="4498" spans="1:6" x14ac:dyDescent="0.25">
      <c r="A4498">
        <v>7024760</v>
      </c>
      <c r="B4498" t="s">
        <v>4569</v>
      </c>
      <c r="C4498" t="str">
        <f>"9783837660432"</f>
        <v>9783837660432</v>
      </c>
      <c r="D4498" t="str">
        <f>"9783839460436"</f>
        <v>9783839460436</v>
      </c>
      <c r="E4498" t="s">
        <v>2798</v>
      </c>
      <c r="F4498" s="1">
        <v>44652</v>
      </c>
    </row>
    <row r="4499" spans="1:6" x14ac:dyDescent="0.25">
      <c r="A4499">
        <v>7024764</v>
      </c>
      <c r="B4499" t="s">
        <v>4570</v>
      </c>
      <c r="C4499" t="str">
        <f>"9783837660586"</f>
        <v>9783837660586</v>
      </c>
      <c r="D4499" t="str">
        <f>"9783839460580"</f>
        <v>9783839460580</v>
      </c>
      <c r="E4499" t="s">
        <v>2798</v>
      </c>
      <c r="F4499" s="1">
        <v>44652</v>
      </c>
    </row>
    <row r="4500" spans="1:6" x14ac:dyDescent="0.25">
      <c r="A4500">
        <v>7024765</v>
      </c>
      <c r="B4500" t="s">
        <v>4571</v>
      </c>
      <c r="C4500" t="str">
        <f>"9783732860647"</f>
        <v>9783732860647</v>
      </c>
      <c r="D4500" t="str">
        <f>"9783839460641"</f>
        <v>9783839460641</v>
      </c>
      <c r="E4500" t="s">
        <v>2798</v>
      </c>
      <c r="F4500" s="1">
        <v>44652</v>
      </c>
    </row>
    <row r="4501" spans="1:6" x14ac:dyDescent="0.25">
      <c r="A4501">
        <v>7024767</v>
      </c>
      <c r="B4501" t="s">
        <v>4572</v>
      </c>
      <c r="C4501" t="str">
        <f>"9783837660760"</f>
        <v>9783837660760</v>
      </c>
      <c r="D4501" t="str">
        <f>"9783839460764"</f>
        <v>9783839460764</v>
      </c>
      <c r="E4501" t="s">
        <v>2798</v>
      </c>
      <c r="F4501" s="1">
        <v>44562</v>
      </c>
    </row>
    <row r="4502" spans="1:6" x14ac:dyDescent="0.25">
      <c r="A4502">
        <v>7024769</v>
      </c>
      <c r="B4502" t="s">
        <v>4573</v>
      </c>
      <c r="C4502" t="str">
        <f>"9783837660814"</f>
        <v>9783837660814</v>
      </c>
      <c r="D4502" t="str">
        <f>"9783839460818"</f>
        <v>9783839460818</v>
      </c>
      <c r="E4502" t="s">
        <v>2798</v>
      </c>
      <c r="F4502" s="1">
        <v>44652</v>
      </c>
    </row>
    <row r="4503" spans="1:6" x14ac:dyDescent="0.25">
      <c r="A4503">
        <v>7024770</v>
      </c>
      <c r="B4503" t="s">
        <v>4574</v>
      </c>
      <c r="C4503" t="str">
        <f>"9783837660883"</f>
        <v>9783837660883</v>
      </c>
      <c r="D4503" t="str">
        <f>"9783839460887"</f>
        <v>9783839460887</v>
      </c>
      <c r="E4503" t="s">
        <v>2798</v>
      </c>
      <c r="F4503" s="1">
        <v>44682</v>
      </c>
    </row>
    <row r="4504" spans="1:6" x14ac:dyDescent="0.25">
      <c r="A4504">
        <v>7024771</v>
      </c>
      <c r="B4504" t="s">
        <v>4575</v>
      </c>
      <c r="C4504" t="str">
        <f>"9783837660890"</f>
        <v>9783837660890</v>
      </c>
      <c r="D4504" t="str">
        <f>"9783839460894"</f>
        <v>9783839460894</v>
      </c>
      <c r="E4504" t="s">
        <v>2798</v>
      </c>
      <c r="F4504" s="1">
        <v>44713</v>
      </c>
    </row>
    <row r="4505" spans="1:6" x14ac:dyDescent="0.25">
      <c r="A4505">
        <v>7024772</v>
      </c>
      <c r="B4505" t="s">
        <v>4576</v>
      </c>
      <c r="C4505" t="str">
        <f>"9783837660944"</f>
        <v>9783837660944</v>
      </c>
      <c r="D4505" t="str">
        <f>"9783839460948"</f>
        <v>9783839460948</v>
      </c>
      <c r="E4505" t="s">
        <v>2798</v>
      </c>
      <c r="F4505" s="1">
        <v>44652</v>
      </c>
    </row>
    <row r="4506" spans="1:6" x14ac:dyDescent="0.25">
      <c r="A4506">
        <v>7024773</v>
      </c>
      <c r="B4506" t="s">
        <v>4577</v>
      </c>
      <c r="C4506" t="str">
        <f>"9783837660999"</f>
        <v>9783837660999</v>
      </c>
      <c r="D4506" t="str">
        <f>"9783839460993"</f>
        <v>9783839460993</v>
      </c>
      <c r="E4506" t="s">
        <v>2798</v>
      </c>
      <c r="F4506" s="1">
        <v>44713</v>
      </c>
    </row>
    <row r="4507" spans="1:6" x14ac:dyDescent="0.25">
      <c r="A4507">
        <v>7024775</v>
      </c>
      <c r="B4507" t="s">
        <v>4578</v>
      </c>
      <c r="C4507" t="str">
        <f>"9783837661040"</f>
        <v>9783837661040</v>
      </c>
      <c r="D4507" t="str">
        <f>"9783839461044"</f>
        <v>9783839461044</v>
      </c>
      <c r="E4507" t="s">
        <v>2798</v>
      </c>
      <c r="F4507" s="1">
        <v>44593</v>
      </c>
    </row>
    <row r="4508" spans="1:6" x14ac:dyDescent="0.25">
      <c r="A4508">
        <v>7024777</v>
      </c>
      <c r="B4508" t="s">
        <v>4579</v>
      </c>
      <c r="C4508" t="str">
        <f>"9783732861255"</f>
        <v>9783732861255</v>
      </c>
      <c r="D4508" t="str">
        <f>"9783839461259"</f>
        <v>9783839461259</v>
      </c>
      <c r="E4508" t="s">
        <v>2798</v>
      </c>
      <c r="F4508" s="1">
        <v>44682</v>
      </c>
    </row>
    <row r="4509" spans="1:6" x14ac:dyDescent="0.25">
      <c r="A4509">
        <v>7024778</v>
      </c>
      <c r="B4509" t="s">
        <v>4580</v>
      </c>
      <c r="C4509" t="str">
        <f>"9783837661309"</f>
        <v>9783837661309</v>
      </c>
      <c r="D4509" t="str">
        <f>"9783839461303"</f>
        <v>9783839461303</v>
      </c>
      <c r="E4509" t="s">
        <v>2798</v>
      </c>
      <c r="F4509" s="1">
        <v>44682</v>
      </c>
    </row>
    <row r="4510" spans="1:6" x14ac:dyDescent="0.25">
      <c r="A4510">
        <v>7024779</v>
      </c>
      <c r="B4510" t="s">
        <v>4581</v>
      </c>
      <c r="C4510" t="str">
        <f>"9783837661316"</f>
        <v>9783837661316</v>
      </c>
      <c r="D4510" t="str">
        <f>"9783839461310"</f>
        <v>9783839461310</v>
      </c>
      <c r="E4510" t="s">
        <v>2798</v>
      </c>
      <c r="F4510" s="1">
        <v>44621</v>
      </c>
    </row>
    <row r="4511" spans="1:6" x14ac:dyDescent="0.25">
      <c r="A4511">
        <v>7024781</v>
      </c>
      <c r="B4511" t="s">
        <v>4582</v>
      </c>
      <c r="C4511" t="str">
        <f>"9783837661439"</f>
        <v>9783837661439</v>
      </c>
      <c r="D4511" t="str">
        <f>"9783839461433"</f>
        <v>9783839461433</v>
      </c>
      <c r="E4511" t="s">
        <v>2798</v>
      </c>
      <c r="F4511" s="1">
        <v>44652</v>
      </c>
    </row>
    <row r="4512" spans="1:6" x14ac:dyDescent="0.25">
      <c r="A4512">
        <v>7024782</v>
      </c>
      <c r="B4512" t="s">
        <v>4583</v>
      </c>
      <c r="C4512" t="str">
        <f>"9783837661491"</f>
        <v>9783837661491</v>
      </c>
      <c r="D4512" t="str">
        <f>"9783839461495"</f>
        <v>9783839461495</v>
      </c>
      <c r="E4512" t="s">
        <v>2798</v>
      </c>
      <c r="F4512" s="1">
        <v>44682</v>
      </c>
    </row>
    <row r="4513" spans="1:6" x14ac:dyDescent="0.25">
      <c r="A4513">
        <v>7024783</v>
      </c>
      <c r="B4513" t="s">
        <v>4584</v>
      </c>
      <c r="C4513" t="str">
        <f>"9783732861521"</f>
        <v>9783732861521</v>
      </c>
      <c r="D4513" t="str">
        <f>"9783839461525"</f>
        <v>9783839461525</v>
      </c>
      <c r="E4513" t="s">
        <v>2798</v>
      </c>
      <c r="F4513" s="1">
        <v>44652</v>
      </c>
    </row>
    <row r="4514" spans="1:6" x14ac:dyDescent="0.25">
      <c r="A4514">
        <v>7024784</v>
      </c>
      <c r="B4514" t="s">
        <v>4585</v>
      </c>
      <c r="C4514" t="str">
        <f>"9783837661576"</f>
        <v>9783837661576</v>
      </c>
      <c r="D4514" t="str">
        <f>"9783839461570"</f>
        <v>9783839461570</v>
      </c>
      <c r="E4514" t="s">
        <v>2798</v>
      </c>
      <c r="F4514" s="1">
        <v>44652</v>
      </c>
    </row>
    <row r="4515" spans="1:6" x14ac:dyDescent="0.25">
      <c r="A4515">
        <v>7024785</v>
      </c>
      <c r="B4515" t="s">
        <v>4586</v>
      </c>
      <c r="C4515" t="str">
        <f>"9783837661620"</f>
        <v>9783837661620</v>
      </c>
      <c r="D4515" t="str">
        <f>"9783839461624"</f>
        <v>9783839461624</v>
      </c>
      <c r="E4515" t="s">
        <v>2798</v>
      </c>
      <c r="F4515" s="1">
        <v>44652</v>
      </c>
    </row>
    <row r="4516" spans="1:6" x14ac:dyDescent="0.25">
      <c r="A4516">
        <v>7024787</v>
      </c>
      <c r="B4516" t="s">
        <v>4587</v>
      </c>
      <c r="C4516" t="str">
        <f>"9783837661675"</f>
        <v>9783837661675</v>
      </c>
      <c r="D4516" t="str">
        <f>"9783839461679"</f>
        <v>9783839461679</v>
      </c>
      <c r="E4516" t="s">
        <v>2798</v>
      </c>
      <c r="F4516" s="1">
        <v>44682</v>
      </c>
    </row>
    <row r="4517" spans="1:6" x14ac:dyDescent="0.25">
      <c r="A4517">
        <v>7024789</v>
      </c>
      <c r="B4517" t="s">
        <v>4588</v>
      </c>
      <c r="C4517" t="str">
        <f>"9783743561816"</f>
        <v>9783743561816</v>
      </c>
      <c r="D4517" t="str">
        <f>"9783839461815"</f>
        <v>9783839461815</v>
      </c>
      <c r="E4517" t="s">
        <v>2798</v>
      </c>
      <c r="F4517" s="1">
        <v>44682</v>
      </c>
    </row>
    <row r="4518" spans="1:6" x14ac:dyDescent="0.25">
      <c r="A4518">
        <v>7024794</v>
      </c>
      <c r="B4518" t="s">
        <v>4589</v>
      </c>
      <c r="C4518" t="str">
        <f>"9783732861965"</f>
        <v>9783732861965</v>
      </c>
      <c r="D4518" t="str">
        <f>"9783839461969"</f>
        <v>9783839461969</v>
      </c>
      <c r="E4518" t="s">
        <v>2798</v>
      </c>
      <c r="F4518" s="1">
        <v>44713</v>
      </c>
    </row>
    <row r="4519" spans="1:6" x14ac:dyDescent="0.25">
      <c r="A4519">
        <v>7024798</v>
      </c>
      <c r="B4519" t="s">
        <v>4590</v>
      </c>
      <c r="C4519" t="str">
        <f>"9783732862153"</f>
        <v>9783732862153</v>
      </c>
      <c r="D4519" t="str">
        <f>"9783839462157"</f>
        <v>9783839462157</v>
      </c>
      <c r="E4519" t="s">
        <v>2798</v>
      </c>
      <c r="F4519" s="1">
        <v>44682</v>
      </c>
    </row>
    <row r="4520" spans="1:6" x14ac:dyDescent="0.25">
      <c r="A4520">
        <v>7024802</v>
      </c>
      <c r="B4520" t="s">
        <v>4591</v>
      </c>
      <c r="C4520" t="str">
        <f>"9783837662245"</f>
        <v>9783837662245</v>
      </c>
      <c r="D4520" t="str">
        <f>"9783839462249"</f>
        <v>9783839462249</v>
      </c>
      <c r="E4520" t="s">
        <v>2798</v>
      </c>
      <c r="F4520" s="1">
        <v>44713</v>
      </c>
    </row>
    <row r="4521" spans="1:6" x14ac:dyDescent="0.25">
      <c r="A4521">
        <v>7024803</v>
      </c>
      <c r="B4521" t="s">
        <v>4592</v>
      </c>
      <c r="C4521" t="str">
        <f>"9783732862269"</f>
        <v>9783732862269</v>
      </c>
      <c r="D4521" t="str">
        <f>"9783839462263"</f>
        <v>9783839462263</v>
      </c>
      <c r="E4521" t="s">
        <v>2798</v>
      </c>
      <c r="F4521" s="1">
        <v>44713</v>
      </c>
    </row>
    <row r="4522" spans="1:6" x14ac:dyDescent="0.25">
      <c r="A4522">
        <v>7024805</v>
      </c>
      <c r="B4522" t="s">
        <v>4593</v>
      </c>
      <c r="C4522" t="str">
        <f>"9783837662320"</f>
        <v>9783837662320</v>
      </c>
      <c r="D4522" t="str">
        <f>"9783839462324"</f>
        <v>9783839462324</v>
      </c>
      <c r="E4522" t="s">
        <v>2798</v>
      </c>
      <c r="F4522" s="1">
        <v>44682</v>
      </c>
    </row>
    <row r="4523" spans="1:6" x14ac:dyDescent="0.25">
      <c r="A4523">
        <v>7024808</v>
      </c>
      <c r="B4523" t="s">
        <v>4594</v>
      </c>
      <c r="C4523" t="str">
        <f>"9783837662535"</f>
        <v>9783837662535</v>
      </c>
      <c r="D4523" t="str">
        <f>"9783839462539"</f>
        <v>9783839462539</v>
      </c>
      <c r="E4523" t="s">
        <v>2798</v>
      </c>
      <c r="F4523" s="1">
        <v>44652</v>
      </c>
    </row>
    <row r="4524" spans="1:6" x14ac:dyDescent="0.25">
      <c r="A4524">
        <v>7024814</v>
      </c>
      <c r="B4524" t="s">
        <v>4595</v>
      </c>
      <c r="C4524" t="str">
        <f>"9783732862757"</f>
        <v>9783732862757</v>
      </c>
      <c r="D4524" t="str">
        <f>"9783839462751"</f>
        <v>9783839462751</v>
      </c>
      <c r="E4524" t="s">
        <v>2798</v>
      </c>
      <c r="F4524" s="1">
        <v>44713</v>
      </c>
    </row>
    <row r="4525" spans="1:6" x14ac:dyDescent="0.25">
      <c r="A4525">
        <v>7024817</v>
      </c>
      <c r="B4525" t="s">
        <v>4596</v>
      </c>
      <c r="C4525" t="str">
        <f>"9783837663051"</f>
        <v>9783837663051</v>
      </c>
      <c r="D4525" t="str">
        <f>"9783839463055"</f>
        <v>9783839463055</v>
      </c>
      <c r="E4525" t="s">
        <v>2798</v>
      </c>
      <c r="F4525" s="1">
        <v>44682</v>
      </c>
    </row>
    <row r="4526" spans="1:6" x14ac:dyDescent="0.25">
      <c r="A4526">
        <v>7024818</v>
      </c>
      <c r="B4526" t="s">
        <v>4597</v>
      </c>
      <c r="C4526" t="str">
        <f>"9783732863075"</f>
        <v>9783732863075</v>
      </c>
      <c r="D4526" t="str">
        <f>"9783839463079"</f>
        <v>9783839463079</v>
      </c>
      <c r="E4526" t="s">
        <v>2798</v>
      </c>
      <c r="F4526" s="1">
        <v>44713</v>
      </c>
    </row>
    <row r="4527" spans="1:6" x14ac:dyDescent="0.25">
      <c r="A4527">
        <v>7024820</v>
      </c>
      <c r="B4527" t="s">
        <v>4598</v>
      </c>
      <c r="C4527" t="str">
        <f>"9783732863198"</f>
        <v>9783732863198</v>
      </c>
      <c r="D4527" t="str">
        <f>"9783839463192"</f>
        <v>9783839463192</v>
      </c>
      <c r="E4527" t="s">
        <v>2798</v>
      </c>
      <c r="F4527" s="1">
        <v>44713</v>
      </c>
    </row>
    <row r="4528" spans="1:6" x14ac:dyDescent="0.25">
      <c r="A4528">
        <v>7024823</v>
      </c>
      <c r="B4528" t="s">
        <v>4599</v>
      </c>
      <c r="C4528" t="str">
        <f>"9783732863327"</f>
        <v>9783732863327</v>
      </c>
      <c r="D4528" t="str">
        <f>"9783839463321"</f>
        <v>9783839463321</v>
      </c>
      <c r="E4528" t="s">
        <v>2798</v>
      </c>
      <c r="F4528" s="1">
        <v>44713</v>
      </c>
    </row>
    <row r="4529" spans="1:6" x14ac:dyDescent="0.25">
      <c r="A4529">
        <v>7024824</v>
      </c>
      <c r="B4529" t="s">
        <v>4600</v>
      </c>
      <c r="C4529" t="str">
        <f>"9783732863440"</f>
        <v>9783732863440</v>
      </c>
      <c r="D4529" t="str">
        <f>"9783839463444"</f>
        <v>9783839463444</v>
      </c>
      <c r="E4529" t="s">
        <v>2798</v>
      </c>
      <c r="F4529" s="1">
        <v>44713</v>
      </c>
    </row>
    <row r="4530" spans="1:6" x14ac:dyDescent="0.25">
      <c r="A4530">
        <v>7024826</v>
      </c>
      <c r="B4530" t="s">
        <v>4601</v>
      </c>
      <c r="C4530" t="str">
        <f>"9783732863785"</f>
        <v>9783732863785</v>
      </c>
      <c r="D4530" t="str">
        <f>"9783839463789"</f>
        <v>9783839463789</v>
      </c>
      <c r="E4530" t="s">
        <v>2798</v>
      </c>
      <c r="F4530" s="1">
        <v>44713</v>
      </c>
    </row>
    <row r="4531" spans="1:6" x14ac:dyDescent="0.25">
      <c r="A4531">
        <v>7024827</v>
      </c>
      <c r="B4531" t="s">
        <v>4602</v>
      </c>
      <c r="C4531" t="str">
        <f>"9783837664034"</f>
        <v>9783837664034</v>
      </c>
      <c r="D4531" t="str">
        <f>"9783839464038"</f>
        <v>9783839464038</v>
      </c>
      <c r="E4531" t="s">
        <v>2798</v>
      </c>
      <c r="F4531" s="1">
        <v>44713</v>
      </c>
    </row>
    <row r="4532" spans="1:6" x14ac:dyDescent="0.25">
      <c r="A4532">
        <v>7024828</v>
      </c>
      <c r="B4532" t="s">
        <v>4603</v>
      </c>
      <c r="C4532" t="str">
        <f>"9783732864263"</f>
        <v>9783732864263</v>
      </c>
      <c r="D4532" t="str">
        <f>"9783839464267"</f>
        <v>9783839464267</v>
      </c>
      <c r="E4532" t="s">
        <v>2798</v>
      </c>
      <c r="F4532" s="1">
        <v>44713</v>
      </c>
    </row>
    <row r="4533" spans="1:6" x14ac:dyDescent="0.25">
      <c r="A4533">
        <v>7025298</v>
      </c>
      <c r="B4533" t="s">
        <v>4604</v>
      </c>
      <c r="C4533" t="str">
        <f>"9783031093562"</f>
        <v>9783031093562</v>
      </c>
      <c r="D4533" t="str">
        <f>"9783031093579"</f>
        <v>9783031093579</v>
      </c>
      <c r="E4533" t="s">
        <v>756</v>
      </c>
      <c r="F4533" s="1">
        <v>44773</v>
      </c>
    </row>
    <row r="4534" spans="1:6" x14ac:dyDescent="0.25">
      <c r="A4534">
        <v>7026315</v>
      </c>
      <c r="B4534" t="s">
        <v>4605</v>
      </c>
      <c r="C4534" t="str">
        <f>"9780472108060"</f>
        <v>9780472108060</v>
      </c>
      <c r="D4534" t="str">
        <f>"9780472903122"</f>
        <v>9780472903122</v>
      </c>
      <c r="E4534" t="s">
        <v>689</v>
      </c>
      <c r="F4534" s="1">
        <v>35702</v>
      </c>
    </row>
    <row r="4535" spans="1:6" x14ac:dyDescent="0.25">
      <c r="A4535">
        <v>7026750</v>
      </c>
      <c r="B4535" t="s">
        <v>4606</v>
      </c>
      <c r="C4535" t="str">
        <f>"9783031104183"</f>
        <v>9783031104183</v>
      </c>
      <c r="D4535" t="str">
        <f>"9783031104190"</f>
        <v>9783031104190</v>
      </c>
      <c r="E4535" t="s">
        <v>756</v>
      </c>
      <c r="F4535" s="1">
        <v>44743</v>
      </c>
    </row>
    <row r="4536" spans="1:6" x14ac:dyDescent="0.25">
      <c r="A4536">
        <v>7026759</v>
      </c>
      <c r="B4536" t="s">
        <v>4607</v>
      </c>
      <c r="C4536" t="str">
        <f>"9783031019791"</f>
        <v>9783031019791</v>
      </c>
      <c r="D4536" t="str">
        <f>"9783031019807"</f>
        <v>9783031019807</v>
      </c>
      <c r="E4536" t="s">
        <v>756</v>
      </c>
      <c r="F4536" s="1">
        <v>44778</v>
      </c>
    </row>
    <row r="4537" spans="1:6" x14ac:dyDescent="0.25">
      <c r="A4537">
        <v>7026771</v>
      </c>
      <c r="B4537" t="s">
        <v>4608</v>
      </c>
      <c r="C4537" t="str">
        <f>"9783658379193"</f>
        <v>9783658379193</v>
      </c>
      <c r="D4537" t="str">
        <f>"9783658379209"</f>
        <v>9783658379209</v>
      </c>
      <c r="E4537" t="s">
        <v>1391</v>
      </c>
      <c r="F4537" s="1">
        <v>44786</v>
      </c>
    </row>
    <row r="4538" spans="1:6" x14ac:dyDescent="0.25">
      <c r="A4538">
        <v>7026779</v>
      </c>
      <c r="B4538" t="s">
        <v>4609</v>
      </c>
      <c r="C4538" t="str">
        <f>"9783031046698"</f>
        <v>9783031046698</v>
      </c>
      <c r="D4538" t="str">
        <f>"9783031046704"</f>
        <v>9783031046704</v>
      </c>
      <c r="E4538" t="s">
        <v>756</v>
      </c>
      <c r="F4538" s="1">
        <v>44779</v>
      </c>
    </row>
    <row r="4539" spans="1:6" x14ac:dyDescent="0.25">
      <c r="A4539">
        <v>7027158</v>
      </c>
      <c r="B4539" t="s">
        <v>4610</v>
      </c>
      <c r="C4539" t="str">
        <f>"9783031018336"</f>
        <v>9783031018336</v>
      </c>
      <c r="D4539" t="str">
        <f>"9783031019197"</f>
        <v>9783031019197</v>
      </c>
      <c r="E4539" t="s">
        <v>756</v>
      </c>
      <c r="F4539" s="1">
        <v>44788</v>
      </c>
    </row>
    <row r="4540" spans="1:6" x14ac:dyDescent="0.25">
      <c r="A4540">
        <v>7027159</v>
      </c>
      <c r="B4540" t="s">
        <v>4611</v>
      </c>
      <c r="C4540" t="str">
        <f>"9783031043321"</f>
        <v>9783031043321</v>
      </c>
      <c r="D4540" t="str">
        <f>"9783031043338"</f>
        <v>9783031043338</v>
      </c>
      <c r="E4540" t="s">
        <v>756</v>
      </c>
      <c r="F4540" s="1">
        <v>44779</v>
      </c>
    </row>
    <row r="4541" spans="1:6" x14ac:dyDescent="0.25">
      <c r="A4541">
        <v>7027172</v>
      </c>
      <c r="B4541" t="s">
        <v>4612</v>
      </c>
      <c r="C4541" t="str">
        <f>"9783031041655"</f>
        <v>9783031041655</v>
      </c>
      <c r="D4541" t="str">
        <f>"9783031041662"</f>
        <v>9783031041662</v>
      </c>
      <c r="E4541" t="s">
        <v>756</v>
      </c>
      <c r="F4541" s="1">
        <v>44779</v>
      </c>
    </row>
    <row r="4542" spans="1:6" x14ac:dyDescent="0.25">
      <c r="A4542">
        <v>7028985</v>
      </c>
      <c r="B4542" t="s">
        <v>4613</v>
      </c>
      <c r="C4542" t="str">
        <f>"9783031079009"</f>
        <v>9783031079009</v>
      </c>
      <c r="D4542" t="str">
        <f>"9783031079016"</f>
        <v>9783031079016</v>
      </c>
      <c r="E4542" t="s">
        <v>756</v>
      </c>
      <c r="F4542" s="1">
        <v>44785</v>
      </c>
    </row>
    <row r="4543" spans="1:6" x14ac:dyDescent="0.25">
      <c r="A4543">
        <v>7028991</v>
      </c>
      <c r="B4543" t="s">
        <v>4614</v>
      </c>
      <c r="C4543" t="str">
        <f>"9783658377168"</f>
        <v>9783658377168</v>
      </c>
      <c r="D4543" t="str">
        <f>"9783658377175"</f>
        <v>9783658377175</v>
      </c>
      <c r="E4543" t="s">
        <v>1391</v>
      </c>
      <c r="F4543" s="1">
        <v>44771</v>
      </c>
    </row>
    <row r="4544" spans="1:6" x14ac:dyDescent="0.25">
      <c r="A4544">
        <v>7028997</v>
      </c>
      <c r="B4544" t="s">
        <v>4615</v>
      </c>
      <c r="C4544" t="str">
        <f>"9789811936388"</f>
        <v>9789811936388</v>
      </c>
      <c r="D4544" t="str">
        <f>"9789811936395"</f>
        <v>9789811936395</v>
      </c>
      <c r="E4544" t="s">
        <v>757</v>
      </c>
      <c r="F4544" s="1">
        <v>44780</v>
      </c>
    </row>
    <row r="4545" spans="1:6" x14ac:dyDescent="0.25">
      <c r="A4545">
        <v>7029027</v>
      </c>
      <c r="B4545" t="s">
        <v>4616</v>
      </c>
      <c r="C4545" t="str">
        <f>"9783658371401"</f>
        <v>9783658371401</v>
      </c>
      <c r="D4545" t="str">
        <f>"9783658371418"</f>
        <v>9783658371418</v>
      </c>
      <c r="E4545" t="s">
        <v>1391</v>
      </c>
      <c r="F4545" s="1">
        <v>44781</v>
      </c>
    </row>
    <row r="4546" spans="1:6" x14ac:dyDescent="0.25">
      <c r="A4546">
        <v>7029182</v>
      </c>
      <c r="B4546" t="s">
        <v>4617</v>
      </c>
      <c r="C4546" t="str">
        <f>"9783662652039"</f>
        <v>9783662652039</v>
      </c>
      <c r="D4546" t="str">
        <f>"9783662652046"</f>
        <v>9783662652046</v>
      </c>
      <c r="E4546" t="s">
        <v>1416</v>
      </c>
      <c r="F4546" s="1">
        <v>44747</v>
      </c>
    </row>
    <row r="4547" spans="1:6" x14ac:dyDescent="0.25">
      <c r="A4547">
        <v>7030719</v>
      </c>
      <c r="B4547" t="s">
        <v>4618</v>
      </c>
      <c r="C4547" t="str">
        <f>"9783031037986"</f>
        <v>9783031037986</v>
      </c>
      <c r="D4547" t="str">
        <f>"9783031037993"</f>
        <v>9783031037993</v>
      </c>
      <c r="E4547" t="s">
        <v>756</v>
      </c>
      <c r="F4547" s="1">
        <v>44747</v>
      </c>
    </row>
    <row r="4548" spans="1:6" x14ac:dyDescent="0.25">
      <c r="A4548">
        <v>7030726</v>
      </c>
      <c r="B4548" t="s">
        <v>4619</v>
      </c>
      <c r="C4548" t="str">
        <f>"9783030992385"</f>
        <v>9783030992385</v>
      </c>
      <c r="D4548" t="str">
        <f>"9783030973223"</f>
        <v>9783030973223</v>
      </c>
      <c r="E4548" t="s">
        <v>756</v>
      </c>
      <c r="F4548" s="1">
        <v>44784</v>
      </c>
    </row>
    <row r="4549" spans="1:6" x14ac:dyDescent="0.25">
      <c r="A4549">
        <v>7032685</v>
      </c>
      <c r="B4549" t="s">
        <v>4620</v>
      </c>
      <c r="C4549" t="str">
        <f>"9780813597270"</f>
        <v>9780813597270</v>
      </c>
      <c r="D4549" t="str">
        <f>"9780813597300"</f>
        <v>9780813597300</v>
      </c>
      <c r="E4549" t="s">
        <v>51</v>
      </c>
      <c r="F4549" s="1">
        <v>44742</v>
      </c>
    </row>
    <row r="4550" spans="1:6" x14ac:dyDescent="0.25">
      <c r="A4550">
        <v>7032802</v>
      </c>
      <c r="B4550" t="s">
        <v>4621</v>
      </c>
      <c r="C4550" t="str">
        <f>"9783030949259"</f>
        <v>9783030949259</v>
      </c>
      <c r="D4550" t="str">
        <f>"9783030949266"</f>
        <v>9783030949266</v>
      </c>
      <c r="E4550" t="s">
        <v>756</v>
      </c>
      <c r="F4550" s="1">
        <v>44780</v>
      </c>
    </row>
    <row r="4551" spans="1:6" x14ac:dyDescent="0.25">
      <c r="A4551">
        <v>7041536</v>
      </c>
      <c r="B4551" t="s">
        <v>4622</v>
      </c>
      <c r="C4551" t="str">
        <f>""</f>
        <v/>
      </c>
      <c r="D4551" t="str">
        <f>"9783110765090"</f>
        <v>9783110765090</v>
      </c>
      <c r="E4551" t="s">
        <v>73</v>
      </c>
      <c r="F4551" s="1">
        <v>44760</v>
      </c>
    </row>
    <row r="4552" spans="1:6" x14ac:dyDescent="0.25">
      <c r="A4552">
        <v>7041537</v>
      </c>
      <c r="B4552" t="s">
        <v>4623</v>
      </c>
      <c r="C4552" t="str">
        <f>""</f>
        <v/>
      </c>
      <c r="D4552" t="str">
        <f>"9783110769975"</f>
        <v>9783110769975</v>
      </c>
      <c r="E4552" t="s">
        <v>73</v>
      </c>
      <c r="F4552" s="1">
        <v>44733</v>
      </c>
    </row>
    <row r="4553" spans="1:6" x14ac:dyDescent="0.25">
      <c r="A4553">
        <v>7041538</v>
      </c>
      <c r="B4553" t="s">
        <v>4624</v>
      </c>
      <c r="C4553" t="str">
        <f>""</f>
        <v/>
      </c>
      <c r="D4553" t="str">
        <f>"9783110770193"</f>
        <v>9783110770193</v>
      </c>
      <c r="E4553" t="s">
        <v>73</v>
      </c>
      <c r="F4553" s="1">
        <v>44733</v>
      </c>
    </row>
    <row r="4554" spans="1:6" x14ac:dyDescent="0.25">
      <c r="A4554">
        <v>7041539</v>
      </c>
      <c r="B4554" t="s">
        <v>4625</v>
      </c>
      <c r="C4554" t="str">
        <f>""</f>
        <v/>
      </c>
      <c r="D4554" t="str">
        <f>"9783110784756"</f>
        <v>9783110784756</v>
      </c>
      <c r="E4554" t="s">
        <v>73</v>
      </c>
      <c r="F4554" s="1">
        <v>44774</v>
      </c>
    </row>
    <row r="4555" spans="1:6" x14ac:dyDescent="0.25">
      <c r="A4555">
        <v>7041541</v>
      </c>
      <c r="B4555" t="s">
        <v>4626</v>
      </c>
      <c r="C4555" t="str">
        <f>""</f>
        <v/>
      </c>
      <c r="D4555" t="str">
        <f>"9783110765526"</f>
        <v>9783110765526</v>
      </c>
      <c r="E4555" t="s">
        <v>73</v>
      </c>
      <c r="F4555" s="1">
        <v>44718</v>
      </c>
    </row>
    <row r="4556" spans="1:6" x14ac:dyDescent="0.25">
      <c r="A4556">
        <v>7041542</v>
      </c>
      <c r="B4556" t="s">
        <v>4627</v>
      </c>
      <c r="C4556" t="str">
        <f>""</f>
        <v/>
      </c>
      <c r="D4556" t="str">
        <f>"9783110746419"</f>
        <v>9783110746419</v>
      </c>
      <c r="E4556" t="s">
        <v>73</v>
      </c>
      <c r="F4556" s="1">
        <v>44774</v>
      </c>
    </row>
    <row r="4557" spans="1:6" x14ac:dyDescent="0.25">
      <c r="A4557">
        <v>7041552</v>
      </c>
      <c r="B4557" t="s">
        <v>4628</v>
      </c>
      <c r="C4557" t="str">
        <f>""</f>
        <v/>
      </c>
      <c r="D4557" t="str">
        <f>"9783110764185"</f>
        <v>9783110764185</v>
      </c>
      <c r="E4557" t="s">
        <v>73</v>
      </c>
      <c r="F4557" s="1">
        <v>44760</v>
      </c>
    </row>
    <row r="4558" spans="1:6" x14ac:dyDescent="0.25">
      <c r="A4558">
        <v>7041554</v>
      </c>
      <c r="B4558" t="s">
        <v>4629</v>
      </c>
      <c r="C4558" t="str">
        <f>""</f>
        <v/>
      </c>
      <c r="D4558" t="str">
        <f>"9783110758900"</f>
        <v>9783110758900</v>
      </c>
      <c r="E4558" t="s">
        <v>73</v>
      </c>
      <c r="F4558" s="1">
        <v>44760</v>
      </c>
    </row>
    <row r="4559" spans="1:6" x14ac:dyDescent="0.25">
      <c r="A4559">
        <v>7041585</v>
      </c>
      <c r="B4559" t="s">
        <v>4630</v>
      </c>
      <c r="C4559" t="str">
        <f>""</f>
        <v/>
      </c>
      <c r="D4559" t="str">
        <f>"9783110760804"</f>
        <v>9783110760804</v>
      </c>
      <c r="E4559" t="s">
        <v>73</v>
      </c>
      <c r="F4559" s="1">
        <v>44747</v>
      </c>
    </row>
    <row r="4560" spans="1:6" x14ac:dyDescent="0.25">
      <c r="A4560">
        <v>7041586</v>
      </c>
      <c r="B4560" t="s">
        <v>4631</v>
      </c>
      <c r="C4560" t="str">
        <f>""</f>
        <v/>
      </c>
      <c r="D4560" t="str">
        <f>"9783110764420"</f>
        <v>9783110764420</v>
      </c>
      <c r="E4560" t="s">
        <v>73</v>
      </c>
      <c r="F4560" s="1">
        <v>44718</v>
      </c>
    </row>
    <row r="4561" spans="1:6" x14ac:dyDescent="0.25">
      <c r="A4561">
        <v>7041587</v>
      </c>
      <c r="B4561" t="s">
        <v>4632</v>
      </c>
      <c r="C4561" t="str">
        <f>""</f>
        <v/>
      </c>
      <c r="D4561" t="str">
        <f>"9783110770773"</f>
        <v>9783110770773</v>
      </c>
      <c r="E4561" t="s">
        <v>73</v>
      </c>
      <c r="F4561" s="1">
        <v>44760</v>
      </c>
    </row>
    <row r="4562" spans="1:6" x14ac:dyDescent="0.25">
      <c r="A4562">
        <v>7041855</v>
      </c>
      <c r="B4562" t="s">
        <v>4633</v>
      </c>
      <c r="C4562" t="str">
        <f>"9783030950873"</f>
        <v>9783030950873</v>
      </c>
      <c r="D4562" t="str">
        <f>"9783030950880"</f>
        <v>9783030950880</v>
      </c>
      <c r="E4562" t="s">
        <v>756</v>
      </c>
      <c r="F4562" s="1">
        <v>44780</v>
      </c>
    </row>
    <row r="4563" spans="1:6" x14ac:dyDescent="0.25">
      <c r="A4563">
        <v>7041883</v>
      </c>
      <c r="B4563" t="s">
        <v>4634</v>
      </c>
      <c r="C4563" t="str">
        <f>"9783030991371"</f>
        <v>9783030991371</v>
      </c>
      <c r="D4563" t="str">
        <f>"9783030991388"</f>
        <v>9783030991388</v>
      </c>
      <c r="E4563" t="s">
        <v>756</v>
      </c>
      <c r="F4563" s="1">
        <v>44780</v>
      </c>
    </row>
    <row r="4564" spans="1:6" x14ac:dyDescent="0.25">
      <c r="A4564">
        <v>7041898</v>
      </c>
      <c r="B4564" t="s">
        <v>4635</v>
      </c>
      <c r="C4564" t="str">
        <f>"9783031019869"</f>
        <v>9783031019869</v>
      </c>
      <c r="D4564" t="str">
        <f>"9783031019876"</f>
        <v>9783031019876</v>
      </c>
      <c r="E4564" t="s">
        <v>756</v>
      </c>
      <c r="F4564" s="1">
        <v>44789</v>
      </c>
    </row>
    <row r="4565" spans="1:6" x14ac:dyDescent="0.25">
      <c r="A4565">
        <v>7042185</v>
      </c>
      <c r="B4565" t="s">
        <v>4636</v>
      </c>
      <c r="C4565" t="str">
        <f>""</f>
        <v/>
      </c>
      <c r="D4565" t="str">
        <f>"9781800104778"</f>
        <v>9781800104778</v>
      </c>
      <c r="E4565" t="s">
        <v>3600</v>
      </c>
      <c r="F4565" s="1">
        <v>44796</v>
      </c>
    </row>
    <row r="4566" spans="1:6" x14ac:dyDescent="0.25">
      <c r="A4566">
        <v>7042208</v>
      </c>
      <c r="B4566" t="s">
        <v>4637</v>
      </c>
      <c r="C4566" t="str">
        <f>"9783031054525"</f>
        <v>9783031054525</v>
      </c>
      <c r="D4566" t="str">
        <f>"9783031054532"</f>
        <v>9783031054532</v>
      </c>
      <c r="E4566" t="s">
        <v>756</v>
      </c>
      <c r="F4566" s="1">
        <v>44787</v>
      </c>
    </row>
    <row r="4567" spans="1:6" x14ac:dyDescent="0.25">
      <c r="A4567">
        <v>7042233</v>
      </c>
      <c r="B4567" t="s">
        <v>4638</v>
      </c>
      <c r="C4567" t="str">
        <f>"9783030940119"</f>
        <v>9783030940119</v>
      </c>
      <c r="D4567" t="str">
        <f>"9783030940126"</f>
        <v>9783030940126</v>
      </c>
      <c r="E4567" t="s">
        <v>756</v>
      </c>
      <c r="F4567" s="1">
        <v>44751</v>
      </c>
    </row>
    <row r="4568" spans="1:6" x14ac:dyDescent="0.25">
      <c r="A4568">
        <v>7042562</v>
      </c>
      <c r="B4568" t="s">
        <v>4639</v>
      </c>
      <c r="C4568" t="str">
        <f>"9783031071263"</f>
        <v>9783031071263</v>
      </c>
      <c r="D4568" t="str">
        <f>"9783031071270"</f>
        <v>9783031071270</v>
      </c>
      <c r="E4568" t="s">
        <v>756</v>
      </c>
      <c r="F4568" s="1">
        <v>44812</v>
      </c>
    </row>
    <row r="4569" spans="1:6" x14ac:dyDescent="0.25">
      <c r="A4569">
        <v>7042563</v>
      </c>
      <c r="B4569" t="s">
        <v>4640</v>
      </c>
      <c r="C4569" t="str">
        <f>"9783031013188"</f>
        <v>9783031013188</v>
      </c>
      <c r="D4569" t="str">
        <f>"9783031013195"</f>
        <v>9783031013195</v>
      </c>
      <c r="E4569" t="s">
        <v>756</v>
      </c>
      <c r="F4569" s="1">
        <v>44787</v>
      </c>
    </row>
    <row r="4570" spans="1:6" x14ac:dyDescent="0.25">
      <c r="A4570">
        <v>7042565</v>
      </c>
      <c r="B4570" t="s">
        <v>1880</v>
      </c>
      <c r="C4570" t="str">
        <f>"9783658375706"</f>
        <v>9783658375706</v>
      </c>
      <c r="D4570" t="str">
        <f>"9783658375713"</f>
        <v>9783658375713</v>
      </c>
      <c r="E4570" t="s">
        <v>1391</v>
      </c>
      <c r="F4570" s="1">
        <v>44785</v>
      </c>
    </row>
    <row r="4571" spans="1:6" x14ac:dyDescent="0.25">
      <c r="A4571">
        <v>7043291</v>
      </c>
      <c r="B4571" t="s">
        <v>4641</v>
      </c>
      <c r="C4571" t="str">
        <f>"9789811921223"</f>
        <v>9789811921223</v>
      </c>
      <c r="D4571" t="str">
        <f>"9789811921230"</f>
        <v>9789811921230</v>
      </c>
      <c r="E4571" t="s">
        <v>885</v>
      </c>
      <c r="F4571" s="1">
        <v>44791</v>
      </c>
    </row>
    <row r="4572" spans="1:6" x14ac:dyDescent="0.25">
      <c r="A4572">
        <v>7043319</v>
      </c>
      <c r="B4572" t="s">
        <v>4642</v>
      </c>
      <c r="C4572" t="str">
        <f>"9789811924552"</f>
        <v>9789811924552</v>
      </c>
      <c r="D4572" t="str">
        <f>"9789811924569"</f>
        <v>9789811924569</v>
      </c>
      <c r="E4572" t="s">
        <v>757</v>
      </c>
      <c r="F4572" s="1">
        <v>44755</v>
      </c>
    </row>
    <row r="4573" spans="1:6" x14ac:dyDescent="0.25">
      <c r="A4573">
        <v>7045442</v>
      </c>
      <c r="B4573" t="s">
        <v>4643</v>
      </c>
      <c r="C4573" t="str">
        <f>"9780472071371"</f>
        <v>9780472071371</v>
      </c>
      <c r="D4573" t="str">
        <f>"9780472900312"</f>
        <v>9780472900312</v>
      </c>
      <c r="E4573" t="s">
        <v>689</v>
      </c>
      <c r="F4573" s="1">
        <v>40553</v>
      </c>
    </row>
    <row r="4574" spans="1:6" x14ac:dyDescent="0.25">
      <c r="A4574">
        <v>7045443</v>
      </c>
      <c r="B4574" t="s">
        <v>4644</v>
      </c>
      <c r="C4574" t="str">
        <f>"9780472071197"</f>
        <v>9780472071197</v>
      </c>
      <c r="D4574" t="str">
        <f>"9780472900343"</f>
        <v>9780472900343</v>
      </c>
      <c r="E4574" t="s">
        <v>689</v>
      </c>
      <c r="F4574" s="1">
        <v>40542</v>
      </c>
    </row>
    <row r="4575" spans="1:6" x14ac:dyDescent="0.25">
      <c r="A4575">
        <v>7045466</v>
      </c>
      <c r="B4575" t="s">
        <v>4645</v>
      </c>
      <c r="C4575" t="str">
        <f>"9783031049606"</f>
        <v>9783031049606</v>
      </c>
      <c r="D4575" t="str">
        <f>"9783031049613"</f>
        <v>9783031049613</v>
      </c>
      <c r="E4575" t="s">
        <v>756</v>
      </c>
      <c r="F4575" s="1">
        <v>44793</v>
      </c>
    </row>
    <row r="4576" spans="1:6" x14ac:dyDescent="0.25">
      <c r="A4576">
        <v>7045473</v>
      </c>
      <c r="B4576" t="s">
        <v>4646</v>
      </c>
      <c r="C4576" t="str">
        <f>"9783030995454"</f>
        <v>9783030995454</v>
      </c>
      <c r="D4576" t="str">
        <f>"9783030995461"</f>
        <v>9783030995461</v>
      </c>
      <c r="E4576" t="s">
        <v>756</v>
      </c>
      <c r="F4576" s="1">
        <v>44799</v>
      </c>
    </row>
    <row r="4577" spans="1:6" x14ac:dyDescent="0.25">
      <c r="A4577">
        <v>7045746</v>
      </c>
      <c r="B4577" t="s">
        <v>4647</v>
      </c>
      <c r="C4577" t="str">
        <f>"9783031019296"</f>
        <v>9783031019296</v>
      </c>
      <c r="D4577" t="str">
        <f>"9783031019302"</f>
        <v>9783031019302</v>
      </c>
      <c r="E4577" t="s">
        <v>756</v>
      </c>
      <c r="F4577" s="1">
        <v>44758</v>
      </c>
    </row>
    <row r="4578" spans="1:6" x14ac:dyDescent="0.25">
      <c r="A4578">
        <v>7045755</v>
      </c>
      <c r="B4578" t="s">
        <v>4648</v>
      </c>
      <c r="C4578" t="str">
        <f>"9783030994310"</f>
        <v>9783030994310</v>
      </c>
      <c r="D4578" t="str">
        <f>"9783030994327"</f>
        <v>9783030994327</v>
      </c>
      <c r="E4578" t="s">
        <v>756</v>
      </c>
      <c r="F4578" s="1">
        <v>44758</v>
      </c>
    </row>
    <row r="4579" spans="1:6" x14ac:dyDescent="0.25">
      <c r="A4579">
        <v>7045899</v>
      </c>
      <c r="B4579" t="s">
        <v>4649</v>
      </c>
      <c r="C4579" t="str">
        <f>"9781644698235"</f>
        <v>9781644698235</v>
      </c>
      <c r="D4579" t="str">
        <f>"9781644698273"</f>
        <v>9781644698273</v>
      </c>
      <c r="E4579" t="s">
        <v>514</v>
      </c>
      <c r="F4579" s="1">
        <v>44768</v>
      </c>
    </row>
    <row r="4580" spans="1:6" x14ac:dyDescent="0.25">
      <c r="A4580">
        <v>7045923</v>
      </c>
      <c r="B4580" t="s">
        <v>4650</v>
      </c>
      <c r="C4580" t="str">
        <f>""</f>
        <v/>
      </c>
      <c r="D4580" t="str">
        <f>"9783110731590"</f>
        <v>9783110731590</v>
      </c>
      <c r="E4580" t="s">
        <v>73</v>
      </c>
      <c r="F4580" s="1">
        <v>44795</v>
      </c>
    </row>
    <row r="4581" spans="1:6" x14ac:dyDescent="0.25">
      <c r="A4581">
        <v>7045932</v>
      </c>
      <c r="B4581" t="s">
        <v>4651</v>
      </c>
      <c r="C4581" t="str">
        <f>""</f>
        <v/>
      </c>
      <c r="D4581" t="str">
        <f>"9783110776195"</f>
        <v>9783110776195</v>
      </c>
      <c r="E4581" t="s">
        <v>73</v>
      </c>
      <c r="F4581" s="1">
        <v>44774</v>
      </c>
    </row>
    <row r="4582" spans="1:6" x14ac:dyDescent="0.25">
      <c r="A4582">
        <v>7045937</v>
      </c>
      <c r="B4582" t="s">
        <v>4652</v>
      </c>
      <c r="C4582" t="str">
        <f>""</f>
        <v/>
      </c>
      <c r="D4582" t="str">
        <f>"9783110722819"</f>
        <v>9783110722819</v>
      </c>
      <c r="E4582" t="s">
        <v>73</v>
      </c>
      <c r="F4582" s="1">
        <v>44774</v>
      </c>
    </row>
    <row r="4583" spans="1:6" x14ac:dyDescent="0.25">
      <c r="A4583">
        <v>7045943</v>
      </c>
      <c r="B4583" t="s">
        <v>4653</v>
      </c>
      <c r="C4583" t="str">
        <f>""</f>
        <v/>
      </c>
      <c r="D4583" t="str">
        <f>"9783110729740"</f>
        <v>9783110729740</v>
      </c>
      <c r="E4583" t="s">
        <v>73</v>
      </c>
      <c r="F4583" s="1">
        <v>44795</v>
      </c>
    </row>
    <row r="4584" spans="1:6" x14ac:dyDescent="0.25">
      <c r="A4584">
        <v>7046586</v>
      </c>
      <c r="B4584" t="s">
        <v>4654</v>
      </c>
      <c r="C4584" t="str">
        <f>"9783030962098"</f>
        <v>9783030962098</v>
      </c>
      <c r="D4584" t="str">
        <f>"9783030962104"</f>
        <v>9783030962104</v>
      </c>
      <c r="E4584" t="s">
        <v>756</v>
      </c>
      <c r="F4584" s="1">
        <v>44761</v>
      </c>
    </row>
    <row r="4585" spans="1:6" x14ac:dyDescent="0.25">
      <c r="A4585">
        <v>7047972</v>
      </c>
      <c r="B4585" t="s">
        <v>4655</v>
      </c>
      <c r="C4585" t="str">
        <f>"9789811931543"</f>
        <v>9789811931543</v>
      </c>
      <c r="D4585" t="str">
        <f>"9789811931550"</f>
        <v>9789811931550</v>
      </c>
      <c r="E4585" t="s">
        <v>885</v>
      </c>
      <c r="F4585" s="1">
        <v>44764</v>
      </c>
    </row>
    <row r="4586" spans="1:6" x14ac:dyDescent="0.25">
      <c r="A4586">
        <v>7048999</v>
      </c>
      <c r="B4586" t="s">
        <v>4656</v>
      </c>
      <c r="C4586" t="str">
        <f>""</f>
        <v/>
      </c>
      <c r="D4586" t="str">
        <f>"9783110720921"</f>
        <v>9783110720921</v>
      </c>
      <c r="E4586" t="s">
        <v>73</v>
      </c>
      <c r="F4586" s="1">
        <v>44804</v>
      </c>
    </row>
    <row r="4587" spans="1:6" x14ac:dyDescent="0.25">
      <c r="A4587">
        <v>7049009</v>
      </c>
      <c r="B4587" t="s">
        <v>4657</v>
      </c>
      <c r="C4587" t="str">
        <f>""</f>
        <v/>
      </c>
      <c r="D4587" t="str">
        <f>"9783110784459"</f>
        <v>9783110784459</v>
      </c>
      <c r="E4587" t="s">
        <v>73</v>
      </c>
      <c r="F4587" s="1">
        <v>44774</v>
      </c>
    </row>
    <row r="4588" spans="1:6" x14ac:dyDescent="0.25">
      <c r="A4588">
        <v>7049014</v>
      </c>
      <c r="B4588" t="s">
        <v>4658</v>
      </c>
      <c r="C4588" t="str">
        <f>""</f>
        <v/>
      </c>
      <c r="D4588" t="str">
        <f>"9783110759105"</f>
        <v>9783110759105</v>
      </c>
      <c r="E4588" t="s">
        <v>73</v>
      </c>
      <c r="F4588" s="1">
        <v>44718</v>
      </c>
    </row>
    <row r="4589" spans="1:6" x14ac:dyDescent="0.25">
      <c r="A4589">
        <v>7049442</v>
      </c>
      <c r="B4589" t="s">
        <v>4659</v>
      </c>
      <c r="C4589" t="str">
        <f>"9783658381530"</f>
        <v>9783658381530</v>
      </c>
      <c r="D4589" t="str">
        <f>"9783658381547"</f>
        <v>9783658381547</v>
      </c>
      <c r="E4589" t="s">
        <v>1391</v>
      </c>
      <c r="F4589" s="1">
        <v>44811</v>
      </c>
    </row>
    <row r="4590" spans="1:6" x14ac:dyDescent="0.25">
      <c r="A4590">
        <v>7051090</v>
      </c>
      <c r="B4590" t="s">
        <v>4660</v>
      </c>
      <c r="C4590" t="str">
        <f>"9783030996338"</f>
        <v>9783030996338</v>
      </c>
      <c r="D4590" t="str">
        <f>"9783030996345"</f>
        <v>9783030996345</v>
      </c>
      <c r="E4590" t="s">
        <v>756</v>
      </c>
      <c r="F4590" s="1">
        <v>44799</v>
      </c>
    </row>
    <row r="4591" spans="1:6" x14ac:dyDescent="0.25">
      <c r="A4591">
        <v>7052062</v>
      </c>
      <c r="B4591" t="s">
        <v>4661</v>
      </c>
      <c r="C4591" t="str">
        <f>"9783031114311"</f>
        <v>9783031114311</v>
      </c>
      <c r="D4591" t="str">
        <f>"9783031114328"</f>
        <v>9783031114328</v>
      </c>
      <c r="E4591" t="s">
        <v>756</v>
      </c>
      <c r="F4591" s="1">
        <v>44769</v>
      </c>
    </row>
    <row r="4592" spans="1:6" x14ac:dyDescent="0.25">
      <c r="A4592">
        <v>7052080</v>
      </c>
      <c r="B4592" t="s">
        <v>4662</v>
      </c>
      <c r="C4592" t="str">
        <f>"9783030985981"</f>
        <v>9783030985981</v>
      </c>
      <c r="D4592" t="str">
        <f>"9783030985998"</f>
        <v>9783030985998</v>
      </c>
      <c r="E4592" t="s">
        <v>756</v>
      </c>
      <c r="F4592" s="1">
        <v>44769</v>
      </c>
    </row>
    <row r="4593" spans="1:6" x14ac:dyDescent="0.25">
      <c r="A4593">
        <v>7052827</v>
      </c>
      <c r="B4593" t="s">
        <v>4663</v>
      </c>
      <c r="C4593" t="str">
        <f>""</f>
        <v/>
      </c>
      <c r="D4593" t="str">
        <f>"9782759235483"</f>
        <v>9782759235483</v>
      </c>
      <c r="E4593" t="s">
        <v>626</v>
      </c>
      <c r="F4593" s="1">
        <v>44742</v>
      </c>
    </row>
    <row r="4594" spans="1:6" x14ac:dyDescent="0.25">
      <c r="A4594">
        <v>7052880</v>
      </c>
      <c r="B4594" t="s">
        <v>4664</v>
      </c>
      <c r="C4594" t="str">
        <f>"9789811667183"</f>
        <v>9789811667183</v>
      </c>
      <c r="D4594" t="str">
        <f>"9789811667190"</f>
        <v>9789811667190</v>
      </c>
      <c r="E4594" t="s">
        <v>757</v>
      </c>
      <c r="F4594" s="1">
        <v>44770</v>
      </c>
    </row>
    <row r="4595" spans="1:6" x14ac:dyDescent="0.25">
      <c r="A4595">
        <v>7052882</v>
      </c>
      <c r="B4595" t="s">
        <v>4665</v>
      </c>
      <c r="C4595" t="str">
        <f>"9783031044618"</f>
        <v>9783031044618</v>
      </c>
      <c r="D4595" t="str">
        <f>"9783031044625"</f>
        <v>9783031044625</v>
      </c>
      <c r="E4595" t="s">
        <v>756</v>
      </c>
      <c r="F4595" s="1">
        <v>44801</v>
      </c>
    </row>
    <row r="4596" spans="1:6" x14ac:dyDescent="0.25">
      <c r="A4596">
        <v>7054365</v>
      </c>
      <c r="B4596" t="s">
        <v>4666</v>
      </c>
      <c r="C4596" t="str">
        <f>""</f>
        <v/>
      </c>
      <c r="D4596" t="str">
        <f>"9782759235766"</f>
        <v>9782759235766</v>
      </c>
      <c r="E4596" t="s">
        <v>626</v>
      </c>
      <c r="F4596" s="1">
        <v>44742</v>
      </c>
    </row>
    <row r="4597" spans="1:6" x14ac:dyDescent="0.25">
      <c r="A4597">
        <v>7054366</v>
      </c>
      <c r="B4597" t="s">
        <v>4667</v>
      </c>
      <c r="C4597" t="str">
        <f>""</f>
        <v/>
      </c>
      <c r="D4597" t="str">
        <f>"9782759235421"</f>
        <v>9782759235421</v>
      </c>
      <c r="E4597" t="s">
        <v>626</v>
      </c>
      <c r="F4597" s="1">
        <v>44742</v>
      </c>
    </row>
    <row r="4598" spans="1:6" x14ac:dyDescent="0.25">
      <c r="A4598">
        <v>7054368</v>
      </c>
      <c r="B4598" t="s">
        <v>4668</v>
      </c>
      <c r="C4598" t="str">
        <f>""</f>
        <v/>
      </c>
      <c r="D4598" t="str">
        <f>"9782759234585"</f>
        <v>9782759234585</v>
      </c>
      <c r="E4598" t="s">
        <v>626</v>
      </c>
      <c r="F4598" s="1">
        <v>44721</v>
      </c>
    </row>
    <row r="4599" spans="1:6" x14ac:dyDescent="0.25">
      <c r="A4599">
        <v>7054369</v>
      </c>
      <c r="B4599" t="s">
        <v>4669</v>
      </c>
      <c r="C4599" t="str">
        <f>""</f>
        <v/>
      </c>
      <c r="D4599" t="str">
        <f>"9782759235155"</f>
        <v>9782759235155</v>
      </c>
      <c r="E4599" t="s">
        <v>626</v>
      </c>
      <c r="F4599" s="1">
        <v>44749</v>
      </c>
    </row>
    <row r="4600" spans="1:6" x14ac:dyDescent="0.25">
      <c r="A4600">
        <v>7054378</v>
      </c>
      <c r="B4600" t="s">
        <v>4670</v>
      </c>
      <c r="C4600" t="str">
        <f>""</f>
        <v/>
      </c>
      <c r="D4600" t="str">
        <f>"9782759235124"</f>
        <v>9782759235124</v>
      </c>
      <c r="E4600" t="s">
        <v>626</v>
      </c>
      <c r="F4600" s="1">
        <v>44742</v>
      </c>
    </row>
    <row r="4601" spans="1:6" x14ac:dyDescent="0.25">
      <c r="A4601">
        <v>7054777</v>
      </c>
      <c r="B4601" t="s">
        <v>4671</v>
      </c>
      <c r="C4601" t="str">
        <f>""</f>
        <v/>
      </c>
      <c r="D4601" t="str">
        <f>"9783110765687"</f>
        <v>9783110765687</v>
      </c>
      <c r="E4601" t="s">
        <v>73</v>
      </c>
      <c r="F4601" s="1">
        <v>44834</v>
      </c>
    </row>
    <row r="4602" spans="1:6" x14ac:dyDescent="0.25">
      <c r="A4602">
        <v>7054817</v>
      </c>
      <c r="B4602" t="s">
        <v>4672</v>
      </c>
      <c r="C4602" t="str">
        <f>"9783031041075"</f>
        <v>9783031041075</v>
      </c>
      <c r="D4602" t="str">
        <f>"9783031041082"</f>
        <v>9783031041082</v>
      </c>
      <c r="E4602" t="s">
        <v>756</v>
      </c>
      <c r="F4602" s="1">
        <v>44815</v>
      </c>
    </row>
    <row r="4603" spans="1:6" x14ac:dyDescent="0.25">
      <c r="A4603">
        <v>7055680</v>
      </c>
      <c r="B4603" t="s">
        <v>4673</v>
      </c>
      <c r="C4603" t="str">
        <f>"9783658379278"</f>
        <v>9783658379278</v>
      </c>
      <c r="D4603" t="str">
        <f>"9783658379285"</f>
        <v>9783658379285</v>
      </c>
      <c r="E4603" t="s">
        <v>1391</v>
      </c>
      <c r="F4603" s="1">
        <v>44816</v>
      </c>
    </row>
    <row r="4604" spans="1:6" x14ac:dyDescent="0.25">
      <c r="A4604">
        <v>7055683</v>
      </c>
      <c r="B4604" t="s">
        <v>4674</v>
      </c>
      <c r="C4604" t="str">
        <f>"9783658388041"</f>
        <v>9783658388041</v>
      </c>
      <c r="D4604" t="str">
        <f>"9783658388058"</f>
        <v>9783658388058</v>
      </c>
      <c r="E4604" t="s">
        <v>1391</v>
      </c>
      <c r="F4604" s="1">
        <v>44820</v>
      </c>
    </row>
    <row r="4605" spans="1:6" x14ac:dyDescent="0.25">
      <c r="A4605">
        <v>7055689</v>
      </c>
      <c r="B4605" t="s">
        <v>4675</v>
      </c>
      <c r="C4605" t="str">
        <f>"9783658384555"</f>
        <v>9783658384555</v>
      </c>
      <c r="D4605" t="str">
        <f>"9783658384562"</f>
        <v>9783658384562</v>
      </c>
      <c r="E4605" t="s">
        <v>1391</v>
      </c>
      <c r="F4605" s="1">
        <v>44816</v>
      </c>
    </row>
    <row r="4606" spans="1:6" x14ac:dyDescent="0.25">
      <c r="A4606">
        <v>7055695</v>
      </c>
      <c r="B4606" t="s">
        <v>4676</v>
      </c>
      <c r="C4606" t="str">
        <f>"9783031107689"</f>
        <v>9783031107689</v>
      </c>
      <c r="D4606" t="str">
        <f>"9783031107696"</f>
        <v>9783031107696</v>
      </c>
      <c r="E4606" t="s">
        <v>756</v>
      </c>
      <c r="F4606" s="1">
        <v>44759</v>
      </c>
    </row>
    <row r="4607" spans="1:6" x14ac:dyDescent="0.25">
      <c r="A4607">
        <v>7068732</v>
      </c>
      <c r="B4607" t="s">
        <v>4677</v>
      </c>
      <c r="C4607" t="str">
        <f>"9783658349691"</f>
        <v>9783658349691</v>
      </c>
      <c r="D4607" t="str">
        <f>"9783658349707"</f>
        <v>9783658349707</v>
      </c>
      <c r="E4607" t="s">
        <v>1391</v>
      </c>
      <c r="F4607" s="1">
        <v>44775</v>
      </c>
    </row>
    <row r="4608" spans="1:6" x14ac:dyDescent="0.25">
      <c r="A4608">
        <v>7069232</v>
      </c>
      <c r="B4608" t="s">
        <v>4678</v>
      </c>
      <c r="C4608" t="str">
        <f>"9783031104466"</f>
        <v>9783031104466</v>
      </c>
      <c r="D4608" t="str">
        <f>"9783031104473"</f>
        <v>9783031104473</v>
      </c>
      <c r="E4608" t="s">
        <v>756</v>
      </c>
      <c r="F4608" s="1">
        <v>44776</v>
      </c>
    </row>
    <row r="4609" spans="1:6" x14ac:dyDescent="0.25">
      <c r="A4609">
        <v>7070165</v>
      </c>
      <c r="B4609" t="s">
        <v>4679</v>
      </c>
      <c r="C4609" t="str">
        <f>"9783031131875"</f>
        <v>9783031131875</v>
      </c>
      <c r="D4609" t="str">
        <f>"9783031131882"</f>
        <v>9783031131882</v>
      </c>
      <c r="E4609" t="s">
        <v>756</v>
      </c>
      <c r="F4609" s="1">
        <v>44822</v>
      </c>
    </row>
    <row r="4610" spans="1:6" x14ac:dyDescent="0.25">
      <c r="A4610">
        <v>7070212</v>
      </c>
      <c r="B4610" t="s">
        <v>4680</v>
      </c>
      <c r="C4610" t="str">
        <f>"9783658384364"</f>
        <v>9783658384364</v>
      </c>
      <c r="D4610" t="str">
        <f>"9783658384371"</f>
        <v>9783658384371</v>
      </c>
      <c r="E4610" t="s">
        <v>1391</v>
      </c>
      <c r="F4610" s="1">
        <v>44817</v>
      </c>
    </row>
    <row r="4611" spans="1:6" x14ac:dyDescent="0.25">
      <c r="A4611">
        <v>7070218</v>
      </c>
      <c r="B4611" t="s">
        <v>4681</v>
      </c>
      <c r="C4611" t="str">
        <f>"9783031131844"</f>
        <v>9783031131844</v>
      </c>
      <c r="D4611" t="str">
        <f>"9783031131851"</f>
        <v>9783031131851</v>
      </c>
      <c r="E4611" t="s">
        <v>756</v>
      </c>
      <c r="F4611" s="1">
        <v>44781</v>
      </c>
    </row>
    <row r="4612" spans="1:6" x14ac:dyDescent="0.25">
      <c r="A4612">
        <v>7070239</v>
      </c>
      <c r="B4612" t="s">
        <v>4682</v>
      </c>
      <c r="C4612" t="str">
        <f>""</f>
        <v/>
      </c>
      <c r="D4612" t="str">
        <f>"9783110786675"</f>
        <v>9783110786675</v>
      </c>
      <c r="E4612" t="s">
        <v>53</v>
      </c>
      <c r="F4612" s="1">
        <v>44795</v>
      </c>
    </row>
    <row r="4613" spans="1:6" x14ac:dyDescent="0.25">
      <c r="A4613">
        <v>7070249</v>
      </c>
      <c r="B4613" t="s">
        <v>4683</v>
      </c>
      <c r="C4613" t="str">
        <f>""</f>
        <v/>
      </c>
      <c r="D4613" t="str">
        <f>"9783110643060"</f>
        <v>9783110643060</v>
      </c>
      <c r="E4613" t="s">
        <v>73</v>
      </c>
      <c r="F4613" s="1">
        <v>44810</v>
      </c>
    </row>
    <row r="4614" spans="1:6" x14ac:dyDescent="0.25">
      <c r="A4614">
        <v>7070254</v>
      </c>
      <c r="B4614" t="s">
        <v>4684</v>
      </c>
      <c r="C4614" t="str">
        <f>""</f>
        <v/>
      </c>
      <c r="D4614" t="str">
        <f>"9783110788075"</f>
        <v>9783110788075</v>
      </c>
      <c r="E4614" t="s">
        <v>73</v>
      </c>
      <c r="F4614" s="1">
        <v>44774</v>
      </c>
    </row>
    <row r="4615" spans="1:6" x14ac:dyDescent="0.25">
      <c r="A4615">
        <v>7070269</v>
      </c>
      <c r="B4615" t="s">
        <v>4685</v>
      </c>
      <c r="C4615" t="str">
        <f>""</f>
        <v/>
      </c>
      <c r="D4615" t="str">
        <f>"9783110698510"</f>
        <v>9783110698510</v>
      </c>
      <c r="E4615" t="s">
        <v>73</v>
      </c>
      <c r="F4615" s="1">
        <v>44795</v>
      </c>
    </row>
    <row r="4616" spans="1:6" x14ac:dyDescent="0.25">
      <c r="A4616">
        <v>7070276</v>
      </c>
      <c r="B4616" t="s">
        <v>4686</v>
      </c>
      <c r="C4616" t="str">
        <f>""</f>
        <v/>
      </c>
      <c r="D4616" t="str">
        <f>"9783110750812"</f>
        <v>9783110750812</v>
      </c>
      <c r="E4616" t="s">
        <v>73</v>
      </c>
      <c r="F4616" s="1">
        <v>44795</v>
      </c>
    </row>
    <row r="4617" spans="1:6" x14ac:dyDescent="0.25">
      <c r="A4617">
        <v>7070277</v>
      </c>
      <c r="B4617" t="s">
        <v>4687</v>
      </c>
      <c r="C4617" t="str">
        <f>""</f>
        <v/>
      </c>
      <c r="D4617" t="str">
        <f>"9783110719444"</f>
        <v>9783110719444</v>
      </c>
      <c r="E4617" t="s">
        <v>73</v>
      </c>
      <c r="F4617" s="1">
        <v>44795</v>
      </c>
    </row>
    <row r="4618" spans="1:6" x14ac:dyDescent="0.25">
      <c r="A4618">
        <v>7070278</v>
      </c>
      <c r="B4618" t="s">
        <v>4688</v>
      </c>
      <c r="C4618" t="str">
        <f>""</f>
        <v/>
      </c>
      <c r="D4618" t="str">
        <f>"9783110784695"</f>
        <v>9783110784695</v>
      </c>
      <c r="E4618" t="s">
        <v>73</v>
      </c>
      <c r="F4618" s="1">
        <v>44795</v>
      </c>
    </row>
    <row r="4619" spans="1:6" x14ac:dyDescent="0.25">
      <c r="A4619">
        <v>7070279</v>
      </c>
      <c r="B4619" t="s">
        <v>4689</v>
      </c>
      <c r="C4619" t="str">
        <f>""</f>
        <v/>
      </c>
      <c r="D4619" t="str">
        <f>"9783110732009"</f>
        <v>9783110732009</v>
      </c>
      <c r="E4619" t="s">
        <v>73</v>
      </c>
      <c r="F4619" s="1">
        <v>44795</v>
      </c>
    </row>
    <row r="4620" spans="1:6" x14ac:dyDescent="0.25">
      <c r="A4620">
        <v>7070285</v>
      </c>
      <c r="B4620" t="s">
        <v>4690</v>
      </c>
      <c r="C4620" t="str">
        <f>""</f>
        <v/>
      </c>
      <c r="D4620" t="str">
        <f>"9783110782189"</f>
        <v>9783110782189</v>
      </c>
      <c r="E4620" t="s">
        <v>73</v>
      </c>
      <c r="F4620" s="1">
        <v>44795</v>
      </c>
    </row>
    <row r="4621" spans="1:6" x14ac:dyDescent="0.25">
      <c r="A4621">
        <v>7070288</v>
      </c>
      <c r="B4621" t="s">
        <v>4691</v>
      </c>
      <c r="C4621" t="str">
        <f>""</f>
        <v/>
      </c>
      <c r="D4621" t="str">
        <f>"9783110758870"</f>
        <v>9783110758870</v>
      </c>
      <c r="E4621" t="s">
        <v>73</v>
      </c>
      <c r="F4621" s="1">
        <v>44795</v>
      </c>
    </row>
    <row r="4622" spans="1:6" x14ac:dyDescent="0.25">
      <c r="A4622">
        <v>7070289</v>
      </c>
      <c r="B4622" t="s">
        <v>4692</v>
      </c>
      <c r="C4622" t="str">
        <f>""</f>
        <v/>
      </c>
      <c r="D4622" t="str">
        <f>"9783110729221"</f>
        <v>9783110729221</v>
      </c>
      <c r="E4622" t="s">
        <v>73</v>
      </c>
      <c r="F4622" s="1">
        <v>44795</v>
      </c>
    </row>
    <row r="4623" spans="1:6" x14ac:dyDescent="0.25">
      <c r="A4623">
        <v>7070988</v>
      </c>
      <c r="B4623" t="s">
        <v>4693</v>
      </c>
      <c r="C4623" t="str">
        <f>"9783031017902"</f>
        <v>9783031017902</v>
      </c>
      <c r="D4623" t="str">
        <f>"9783031017919"</f>
        <v>9783031017919</v>
      </c>
      <c r="E4623" t="s">
        <v>756</v>
      </c>
      <c r="F4623" s="1">
        <v>44840</v>
      </c>
    </row>
    <row r="4624" spans="1:6" x14ac:dyDescent="0.25">
      <c r="A4624">
        <v>7070996</v>
      </c>
      <c r="B4624" t="s">
        <v>4694</v>
      </c>
      <c r="C4624" t="str">
        <f>"9783030978327"</f>
        <v>9783030978327</v>
      </c>
      <c r="D4624" t="str">
        <f>"9783030978334"</f>
        <v>9783030978334</v>
      </c>
      <c r="E4624" t="s">
        <v>756</v>
      </c>
      <c r="F4624" s="1">
        <v>44812</v>
      </c>
    </row>
    <row r="4625" spans="1:6" x14ac:dyDescent="0.25">
      <c r="A4625">
        <v>7072353</v>
      </c>
      <c r="B4625" t="s">
        <v>4695</v>
      </c>
      <c r="C4625" t="str">
        <f>"9789811920714"</f>
        <v>9789811920714</v>
      </c>
      <c r="D4625" t="str">
        <f>"9789811920721"</f>
        <v>9789811920721</v>
      </c>
      <c r="E4625" t="s">
        <v>757</v>
      </c>
      <c r="F4625" s="1">
        <v>44783</v>
      </c>
    </row>
    <row r="4626" spans="1:6" x14ac:dyDescent="0.25">
      <c r="A4626">
        <v>7072361</v>
      </c>
      <c r="B4626" t="s">
        <v>4696</v>
      </c>
      <c r="C4626" t="str">
        <f>"9783030991760"</f>
        <v>9783030991760</v>
      </c>
      <c r="D4626" t="str">
        <f>"9783030991777"</f>
        <v>9783030991777</v>
      </c>
      <c r="E4626" t="s">
        <v>756</v>
      </c>
      <c r="F4626" s="1">
        <v>44783</v>
      </c>
    </row>
    <row r="4627" spans="1:6" x14ac:dyDescent="0.25">
      <c r="A4627">
        <v>7072640</v>
      </c>
      <c r="B4627" t="s">
        <v>4697</v>
      </c>
      <c r="C4627" t="str">
        <f>"9780472075621"</f>
        <v>9780472075621</v>
      </c>
      <c r="D4627" t="str">
        <f>"9780472902989"</f>
        <v>9780472902989</v>
      </c>
      <c r="E4627" t="s">
        <v>689</v>
      </c>
      <c r="F4627" s="1">
        <v>44925</v>
      </c>
    </row>
    <row r="4628" spans="1:6" x14ac:dyDescent="0.25">
      <c r="A4628">
        <v>7072641</v>
      </c>
      <c r="B4628" t="s">
        <v>4698</v>
      </c>
      <c r="C4628" t="str">
        <f>"9780472055586"</f>
        <v>9780472055586</v>
      </c>
      <c r="D4628" t="str">
        <f>"9780472902958"</f>
        <v>9780472902958</v>
      </c>
      <c r="E4628" t="s">
        <v>689</v>
      </c>
      <c r="F4628" s="1">
        <v>44812</v>
      </c>
    </row>
    <row r="4629" spans="1:6" x14ac:dyDescent="0.25">
      <c r="A4629">
        <v>7072642</v>
      </c>
      <c r="B4629" t="s">
        <v>4699</v>
      </c>
      <c r="C4629" t="str">
        <f>"9780472075614"</f>
        <v>9780472075614</v>
      </c>
      <c r="D4629" t="str">
        <f>"9780472902972"</f>
        <v>9780472902972</v>
      </c>
      <c r="E4629" t="s">
        <v>689</v>
      </c>
      <c r="F4629" s="1">
        <v>44909</v>
      </c>
    </row>
    <row r="4630" spans="1:6" x14ac:dyDescent="0.25">
      <c r="A4630">
        <v>7072672</v>
      </c>
      <c r="B4630" t="s">
        <v>4700</v>
      </c>
      <c r="C4630" t="str">
        <f>"9783030998103"</f>
        <v>9783030998103</v>
      </c>
      <c r="D4630" t="str">
        <f>"9783030998110"</f>
        <v>9783030998110</v>
      </c>
      <c r="E4630" t="s">
        <v>756</v>
      </c>
      <c r="F4630" s="1">
        <v>44815</v>
      </c>
    </row>
    <row r="4631" spans="1:6" x14ac:dyDescent="0.25">
      <c r="A4631">
        <v>7072787</v>
      </c>
      <c r="B4631" t="s">
        <v>4701</v>
      </c>
      <c r="C4631" t="str">
        <f>"9780472133154"</f>
        <v>9780472133154</v>
      </c>
      <c r="D4631" t="str">
        <f>"9780472903115"</f>
        <v>9780472903115</v>
      </c>
      <c r="E4631" t="s">
        <v>689</v>
      </c>
      <c r="F4631" s="1">
        <v>44804</v>
      </c>
    </row>
    <row r="4632" spans="1:6" x14ac:dyDescent="0.25">
      <c r="A4632">
        <v>7073222</v>
      </c>
      <c r="B4632" t="s">
        <v>4702</v>
      </c>
      <c r="C4632" t="str">
        <f>"9783031074370"</f>
        <v>9783031074370</v>
      </c>
      <c r="D4632" t="str">
        <f>"9783031074387"</f>
        <v>9783031074387</v>
      </c>
      <c r="E4632" t="s">
        <v>756</v>
      </c>
      <c r="F4632" s="1">
        <v>44823</v>
      </c>
    </row>
    <row r="4633" spans="1:6" x14ac:dyDescent="0.25">
      <c r="A4633">
        <v>7073231</v>
      </c>
      <c r="B4633" t="s">
        <v>4703</v>
      </c>
      <c r="C4633" t="str">
        <f>"9783658388560"</f>
        <v>9783658388560</v>
      </c>
      <c r="D4633" t="str">
        <f>"9783658388577"</f>
        <v>9783658388577</v>
      </c>
      <c r="E4633" t="s">
        <v>1391</v>
      </c>
      <c r="F4633" s="1">
        <v>44824</v>
      </c>
    </row>
    <row r="4634" spans="1:6" x14ac:dyDescent="0.25">
      <c r="A4634">
        <v>7073373</v>
      </c>
      <c r="B4634" t="s">
        <v>4704</v>
      </c>
      <c r="C4634" t="str">
        <f>"9783031051593"</f>
        <v>9783031051593</v>
      </c>
      <c r="D4634" t="str">
        <f>"9783031051609"</f>
        <v>9783031051609</v>
      </c>
      <c r="E4634" t="s">
        <v>756</v>
      </c>
      <c r="F4634" s="1">
        <v>44787</v>
      </c>
    </row>
    <row r="4635" spans="1:6" x14ac:dyDescent="0.25">
      <c r="A4635">
        <v>7073378</v>
      </c>
      <c r="B4635" t="s">
        <v>4705</v>
      </c>
      <c r="C4635" t="str">
        <f>"9783658389574"</f>
        <v>9783658389574</v>
      </c>
      <c r="D4635" t="str">
        <f>"9783658389581"</f>
        <v>9783658389581</v>
      </c>
      <c r="E4635" t="s">
        <v>1391</v>
      </c>
      <c r="F4635" s="1">
        <v>44841</v>
      </c>
    </row>
    <row r="4636" spans="1:6" x14ac:dyDescent="0.25">
      <c r="A4636">
        <v>7074114</v>
      </c>
      <c r="B4636" t="s">
        <v>4706</v>
      </c>
      <c r="C4636" t="str">
        <f>"9781438490113"</f>
        <v>9781438490113</v>
      </c>
      <c r="D4636" t="str">
        <f>"9781438490120"</f>
        <v>9781438490120</v>
      </c>
      <c r="E4636" t="s">
        <v>684</v>
      </c>
      <c r="F4636" s="1">
        <v>44805</v>
      </c>
    </row>
    <row r="4637" spans="1:6" x14ac:dyDescent="0.25">
      <c r="A4637">
        <v>7074392</v>
      </c>
      <c r="B4637" t="s">
        <v>4707</v>
      </c>
      <c r="C4637" t="str">
        <f>"9783030985264"</f>
        <v>9783030985264</v>
      </c>
      <c r="D4637" t="str">
        <f>"9783030985271"</f>
        <v>9783030985271</v>
      </c>
      <c r="E4637" t="s">
        <v>756</v>
      </c>
      <c r="F4637" s="1">
        <v>44821</v>
      </c>
    </row>
    <row r="4638" spans="1:6" x14ac:dyDescent="0.25">
      <c r="A4638">
        <v>7074833</v>
      </c>
      <c r="B4638" t="s">
        <v>4708</v>
      </c>
      <c r="C4638" t="str">
        <f>"9783031110603"</f>
        <v>9783031110603</v>
      </c>
      <c r="D4638" t="str">
        <f>"9783031110610"</f>
        <v>9783031110610</v>
      </c>
      <c r="E4638" t="s">
        <v>756</v>
      </c>
      <c r="F4638" s="1">
        <v>44790</v>
      </c>
    </row>
    <row r="4639" spans="1:6" x14ac:dyDescent="0.25">
      <c r="A4639">
        <v>7074842</v>
      </c>
      <c r="B4639" t="s">
        <v>4709</v>
      </c>
      <c r="C4639" t="str">
        <f>"9789027211477"</f>
        <v>9789027211477</v>
      </c>
      <c r="D4639" t="str">
        <f>"9789027257536"</f>
        <v>9789027257536</v>
      </c>
      <c r="E4639" t="s">
        <v>413</v>
      </c>
      <c r="F4639" s="1">
        <v>44819</v>
      </c>
    </row>
    <row r="4640" spans="1:6" x14ac:dyDescent="0.25">
      <c r="A4640">
        <v>7075905</v>
      </c>
      <c r="B4640" t="s">
        <v>4710</v>
      </c>
      <c r="C4640" t="str">
        <f>""</f>
        <v/>
      </c>
      <c r="D4640" t="str">
        <f>"9789179293901"</f>
        <v>9789179293901</v>
      </c>
      <c r="E4640" t="s">
        <v>1004</v>
      </c>
      <c r="F4640" s="1">
        <v>44817</v>
      </c>
    </row>
    <row r="4641" spans="1:6" x14ac:dyDescent="0.25">
      <c r="A4641">
        <v>7076024</v>
      </c>
      <c r="B4641" t="s">
        <v>4711</v>
      </c>
      <c r="C4641" t="str">
        <f>"9783030992057"</f>
        <v>9783030992057</v>
      </c>
      <c r="D4641" t="str">
        <f>"9783030992064"</f>
        <v>9783030992064</v>
      </c>
      <c r="E4641" t="s">
        <v>756</v>
      </c>
      <c r="F4641" s="1">
        <v>44840</v>
      </c>
    </row>
    <row r="4642" spans="1:6" x14ac:dyDescent="0.25">
      <c r="A4642">
        <v>7076026</v>
      </c>
      <c r="B4642" t="s">
        <v>4712</v>
      </c>
      <c r="C4642" t="str">
        <f>"9783031065491"</f>
        <v>9783031065491</v>
      </c>
      <c r="D4642" t="str">
        <f>"9783031065507"</f>
        <v>9783031065507</v>
      </c>
      <c r="E4642" t="s">
        <v>756</v>
      </c>
      <c r="F4642" s="1">
        <v>44827</v>
      </c>
    </row>
    <row r="4643" spans="1:6" x14ac:dyDescent="0.25">
      <c r="A4643">
        <v>7076046</v>
      </c>
      <c r="B4643" t="s">
        <v>4713</v>
      </c>
      <c r="C4643" t="str">
        <f>"9783658382056"</f>
        <v>9783658382056</v>
      </c>
      <c r="D4643" t="str">
        <f>"9783658382063"</f>
        <v>9783658382063</v>
      </c>
      <c r="E4643" t="s">
        <v>1391</v>
      </c>
      <c r="F4643" s="1">
        <v>44831</v>
      </c>
    </row>
    <row r="4644" spans="1:6" x14ac:dyDescent="0.25">
      <c r="A4644">
        <v>7076050</v>
      </c>
      <c r="B4644" t="s">
        <v>4714</v>
      </c>
      <c r="C4644" t="str">
        <f>"9783031044830"</f>
        <v>9783031044830</v>
      </c>
      <c r="D4644" t="str">
        <f>"9783031044847"</f>
        <v>9783031044847</v>
      </c>
      <c r="E4644" t="s">
        <v>756</v>
      </c>
      <c r="F4644" s="1">
        <v>44828</v>
      </c>
    </row>
    <row r="4645" spans="1:6" x14ac:dyDescent="0.25">
      <c r="A4645">
        <v>7076090</v>
      </c>
      <c r="B4645" t="s">
        <v>4715</v>
      </c>
      <c r="C4645" t="str">
        <f>"9780472075522"</f>
        <v>9780472075522</v>
      </c>
      <c r="D4645" t="str">
        <f>"9780472902903"</f>
        <v>9780472902903</v>
      </c>
      <c r="E4645" t="s">
        <v>689</v>
      </c>
      <c r="F4645" s="1">
        <v>44844</v>
      </c>
    </row>
    <row r="4646" spans="1:6" x14ac:dyDescent="0.25">
      <c r="A4646">
        <v>7076296</v>
      </c>
      <c r="B4646" t="s">
        <v>4716</v>
      </c>
      <c r="C4646" t="str">
        <f>""</f>
        <v/>
      </c>
      <c r="D4646" t="str">
        <f>"9783110776485"</f>
        <v>9783110776485</v>
      </c>
      <c r="E4646" t="s">
        <v>73</v>
      </c>
      <c r="F4646" s="1">
        <v>44824</v>
      </c>
    </row>
    <row r="4647" spans="1:6" x14ac:dyDescent="0.25">
      <c r="A4647">
        <v>7076299</v>
      </c>
      <c r="B4647" t="s">
        <v>4717</v>
      </c>
      <c r="C4647" t="str">
        <f>""</f>
        <v/>
      </c>
      <c r="D4647" t="str">
        <f>"9783110618150"</f>
        <v>9783110618150</v>
      </c>
      <c r="E4647" t="s">
        <v>73</v>
      </c>
      <c r="F4647" s="1">
        <v>44810</v>
      </c>
    </row>
    <row r="4648" spans="1:6" x14ac:dyDescent="0.25">
      <c r="A4648">
        <v>7076300</v>
      </c>
      <c r="B4648" t="s">
        <v>4718</v>
      </c>
      <c r="C4648" t="str">
        <f>""</f>
        <v/>
      </c>
      <c r="D4648" t="str">
        <f>"9783110726404"</f>
        <v>9783110726404</v>
      </c>
      <c r="E4648" t="s">
        <v>73</v>
      </c>
      <c r="F4648" s="1">
        <v>44810</v>
      </c>
    </row>
    <row r="4649" spans="1:6" x14ac:dyDescent="0.25">
      <c r="A4649">
        <v>7076308</v>
      </c>
      <c r="B4649" t="s">
        <v>4719</v>
      </c>
      <c r="C4649" t="str">
        <f>""</f>
        <v/>
      </c>
      <c r="D4649" t="str">
        <f>"9783110698046"</f>
        <v>9783110698046</v>
      </c>
      <c r="E4649" t="s">
        <v>73</v>
      </c>
      <c r="F4649" s="1">
        <v>44810</v>
      </c>
    </row>
    <row r="4650" spans="1:6" x14ac:dyDescent="0.25">
      <c r="A4650">
        <v>7076310</v>
      </c>
      <c r="B4650" t="s">
        <v>4720</v>
      </c>
      <c r="C4650" t="str">
        <f>""</f>
        <v/>
      </c>
      <c r="D4650" t="str">
        <f>"9783110695090"</f>
        <v>9783110695090</v>
      </c>
      <c r="E4650" t="s">
        <v>73</v>
      </c>
      <c r="F4650" s="1">
        <v>44810</v>
      </c>
    </row>
    <row r="4651" spans="1:6" x14ac:dyDescent="0.25">
      <c r="A4651">
        <v>7076311</v>
      </c>
      <c r="B4651" t="s">
        <v>4721</v>
      </c>
      <c r="C4651" t="str">
        <f>""</f>
        <v/>
      </c>
      <c r="D4651" t="str">
        <f>"9783110780574"</f>
        <v>9783110780574</v>
      </c>
      <c r="E4651" t="s">
        <v>73</v>
      </c>
      <c r="F4651" s="1">
        <v>44810</v>
      </c>
    </row>
    <row r="4652" spans="1:6" x14ac:dyDescent="0.25">
      <c r="A4652">
        <v>7076319</v>
      </c>
      <c r="B4652" t="s">
        <v>4722</v>
      </c>
      <c r="C4652" t="str">
        <f>""</f>
        <v/>
      </c>
      <c r="D4652" t="str">
        <f>"9783110754469"</f>
        <v>9783110754469</v>
      </c>
      <c r="E4652" t="s">
        <v>73</v>
      </c>
      <c r="F4652" s="1">
        <v>44810</v>
      </c>
    </row>
    <row r="4653" spans="1:6" x14ac:dyDescent="0.25">
      <c r="A4653">
        <v>7076321</v>
      </c>
      <c r="B4653" t="s">
        <v>4723</v>
      </c>
      <c r="C4653" t="str">
        <f>""</f>
        <v/>
      </c>
      <c r="D4653" t="str">
        <f>"9783110786965"</f>
        <v>9783110786965</v>
      </c>
      <c r="E4653" t="s">
        <v>73</v>
      </c>
      <c r="F4653" s="1">
        <v>44810</v>
      </c>
    </row>
    <row r="4654" spans="1:6" x14ac:dyDescent="0.25">
      <c r="A4654">
        <v>7076323</v>
      </c>
      <c r="B4654" t="s">
        <v>4724</v>
      </c>
      <c r="C4654" t="str">
        <f>""</f>
        <v/>
      </c>
      <c r="D4654" t="str">
        <f>"9783110772388"</f>
        <v>9783110772388</v>
      </c>
      <c r="E4654" t="s">
        <v>73</v>
      </c>
      <c r="F4654" s="1">
        <v>44760</v>
      </c>
    </row>
    <row r="4655" spans="1:6" x14ac:dyDescent="0.25">
      <c r="A4655">
        <v>7076325</v>
      </c>
      <c r="B4655" t="s">
        <v>4725</v>
      </c>
      <c r="C4655" t="str">
        <f>""</f>
        <v/>
      </c>
      <c r="D4655" t="str">
        <f>"9783110744552"</f>
        <v>9783110744552</v>
      </c>
      <c r="E4655" t="s">
        <v>73</v>
      </c>
      <c r="F4655" s="1">
        <v>44810</v>
      </c>
    </row>
    <row r="4656" spans="1:6" x14ac:dyDescent="0.25">
      <c r="A4656">
        <v>7076327</v>
      </c>
      <c r="B4656" t="s">
        <v>4726</v>
      </c>
      <c r="C4656" t="str">
        <f>""</f>
        <v/>
      </c>
      <c r="D4656" t="str">
        <f>"9783110757101"</f>
        <v>9783110757101</v>
      </c>
      <c r="E4656" t="s">
        <v>73</v>
      </c>
      <c r="F4656" s="1">
        <v>44810</v>
      </c>
    </row>
    <row r="4657" spans="1:6" x14ac:dyDescent="0.25">
      <c r="A4657">
        <v>7076547</v>
      </c>
      <c r="B4657" t="s">
        <v>4727</v>
      </c>
      <c r="C4657" t="str">
        <f>""</f>
        <v/>
      </c>
      <c r="D4657" t="str">
        <f>"9789179294403"</f>
        <v>9789179294403</v>
      </c>
      <c r="E4657" t="s">
        <v>1004</v>
      </c>
      <c r="F4657" s="1">
        <v>44792</v>
      </c>
    </row>
    <row r="4658" spans="1:6" x14ac:dyDescent="0.25">
      <c r="A4658">
        <v>7076549</v>
      </c>
      <c r="B4658" t="s">
        <v>4728</v>
      </c>
      <c r="C4658" t="str">
        <f>""</f>
        <v/>
      </c>
      <c r="D4658" t="str">
        <f>"9789179293956"</f>
        <v>9789179293956</v>
      </c>
      <c r="E4658" t="s">
        <v>1004</v>
      </c>
      <c r="F4658" s="1">
        <v>44791</v>
      </c>
    </row>
    <row r="4659" spans="1:6" x14ac:dyDescent="0.25">
      <c r="A4659">
        <v>7076551</v>
      </c>
      <c r="B4659" t="s">
        <v>4729</v>
      </c>
      <c r="C4659" t="str">
        <f>""</f>
        <v/>
      </c>
      <c r="D4659" t="str">
        <f>"9789179294151"</f>
        <v>9789179294151</v>
      </c>
      <c r="E4659" t="s">
        <v>1004</v>
      </c>
      <c r="F4659" s="1">
        <v>44789</v>
      </c>
    </row>
    <row r="4660" spans="1:6" x14ac:dyDescent="0.25">
      <c r="A4660">
        <v>7076755</v>
      </c>
      <c r="B4660" t="s">
        <v>4730</v>
      </c>
      <c r="C4660" t="str">
        <f>"9783031065699"</f>
        <v>9783031065699</v>
      </c>
      <c r="D4660" t="str">
        <f>"9783031065705"</f>
        <v>9783031065705</v>
      </c>
      <c r="E4660" t="s">
        <v>756</v>
      </c>
      <c r="F4660" s="1">
        <v>44857</v>
      </c>
    </row>
    <row r="4661" spans="1:6" x14ac:dyDescent="0.25">
      <c r="A4661">
        <v>7076794</v>
      </c>
      <c r="B4661" t="s">
        <v>4731</v>
      </c>
      <c r="C4661" t="str">
        <f>"9783658380250"</f>
        <v>9783658380250</v>
      </c>
      <c r="D4661" t="str">
        <f>"9783658380267"</f>
        <v>9783658380267</v>
      </c>
      <c r="E4661" t="s">
        <v>1391</v>
      </c>
      <c r="F4661" s="1">
        <v>44796</v>
      </c>
    </row>
    <row r="4662" spans="1:6" x14ac:dyDescent="0.25">
      <c r="A4662">
        <v>7077172</v>
      </c>
      <c r="B4662" t="s">
        <v>4732</v>
      </c>
      <c r="C4662" t="str">
        <f>"9783031158445"</f>
        <v>9783031158445</v>
      </c>
      <c r="D4662" t="str">
        <f>"9783031158452"</f>
        <v>9783031158452</v>
      </c>
      <c r="E4662" t="s">
        <v>756</v>
      </c>
      <c r="F4662" s="1">
        <v>44797</v>
      </c>
    </row>
    <row r="4663" spans="1:6" x14ac:dyDescent="0.25">
      <c r="A4663">
        <v>7077625</v>
      </c>
      <c r="B4663" t="s">
        <v>4733</v>
      </c>
      <c r="C4663" t="str">
        <f>"9783031061264"</f>
        <v>9783031061264</v>
      </c>
      <c r="D4663" t="str">
        <f>"9783031061271"</f>
        <v>9783031061271</v>
      </c>
      <c r="E4663" t="s">
        <v>756</v>
      </c>
      <c r="F4663" s="1">
        <v>44798</v>
      </c>
    </row>
    <row r="4664" spans="1:6" x14ac:dyDescent="0.25">
      <c r="A4664">
        <v>7077634</v>
      </c>
      <c r="B4664" t="s">
        <v>4734</v>
      </c>
      <c r="C4664" t="str">
        <f>"9783658383862"</f>
        <v>9783658383862</v>
      </c>
      <c r="D4664" t="str">
        <f>"9783658383879"</f>
        <v>9783658383879</v>
      </c>
      <c r="E4664" t="s">
        <v>1391</v>
      </c>
      <c r="F4664" s="1">
        <v>44829</v>
      </c>
    </row>
    <row r="4665" spans="1:6" x14ac:dyDescent="0.25">
      <c r="A4665">
        <v>7077649</v>
      </c>
      <c r="B4665" t="s">
        <v>4735</v>
      </c>
      <c r="C4665" t="str">
        <f>"9783031114656"</f>
        <v>9783031114656</v>
      </c>
      <c r="D4665" t="str">
        <f>"9783031114663"</f>
        <v>9783031114663</v>
      </c>
      <c r="E4665" t="s">
        <v>756</v>
      </c>
      <c r="F4665" s="1">
        <v>44829</v>
      </c>
    </row>
    <row r="4666" spans="1:6" x14ac:dyDescent="0.25">
      <c r="A4666">
        <v>7077834</v>
      </c>
      <c r="B4666" t="s">
        <v>4736</v>
      </c>
      <c r="C4666" t="str">
        <f>"9789811937620"</f>
        <v>9789811937620</v>
      </c>
      <c r="D4666" t="str">
        <f>"9789811937637"</f>
        <v>9789811937637</v>
      </c>
      <c r="E4666" t="s">
        <v>757</v>
      </c>
      <c r="F4666" s="1">
        <v>44835</v>
      </c>
    </row>
    <row r="4667" spans="1:6" x14ac:dyDescent="0.25">
      <c r="A4667">
        <v>7078021</v>
      </c>
      <c r="B4667" t="s">
        <v>4737</v>
      </c>
      <c r="C4667" t="str">
        <f>"9783658383008"</f>
        <v>9783658383008</v>
      </c>
      <c r="D4667" t="str">
        <f>"9783658383015"</f>
        <v>9783658383015</v>
      </c>
      <c r="E4667" t="s">
        <v>1391</v>
      </c>
      <c r="F4667" s="1">
        <v>44842</v>
      </c>
    </row>
    <row r="4668" spans="1:6" x14ac:dyDescent="0.25">
      <c r="A4668">
        <v>7078087</v>
      </c>
      <c r="B4668" t="s">
        <v>4738</v>
      </c>
      <c r="C4668" t="str">
        <f>"9789811927829"</f>
        <v>9789811927829</v>
      </c>
      <c r="D4668" t="str">
        <f>"9789811927836"</f>
        <v>9789811927836</v>
      </c>
      <c r="E4668" t="s">
        <v>757</v>
      </c>
      <c r="F4668" s="1">
        <v>44821</v>
      </c>
    </row>
    <row r="4669" spans="1:6" x14ac:dyDescent="0.25">
      <c r="A4669">
        <v>7078129</v>
      </c>
      <c r="B4669" t="s">
        <v>4739</v>
      </c>
      <c r="C4669" t="str">
        <f>""</f>
        <v/>
      </c>
      <c r="D4669" t="str">
        <f>"9783110734522"</f>
        <v>9783110734522</v>
      </c>
      <c r="E4669" t="s">
        <v>73</v>
      </c>
      <c r="F4669" s="1">
        <v>44795</v>
      </c>
    </row>
    <row r="4670" spans="1:6" x14ac:dyDescent="0.25">
      <c r="A4670">
        <v>7078255</v>
      </c>
      <c r="B4670" t="s">
        <v>4740</v>
      </c>
      <c r="C4670" t="str">
        <f>""</f>
        <v/>
      </c>
      <c r="D4670" t="str">
        <f>"9789179294229"</f>
        <v>9789179294229</v>
      </c>
      <c r="E4670" t="s">
        <v>1004</v>
      </c>
      <c r="F4670" s="1">
        <v>44796</v>
      </c>
    </row>
    <row r="4671" spans="1:6" x14ac:dyDescent="0.25">
      <c r="A4671">
        <v>7078256</v>
      </c>
      <c r="B4671" t="s">
        <v>4741</v>
      </c>
      <c r="C4671" t="str">
        <f>""</f>
        <v/>
      </c>
      <c r="D4671" t="str">
        <f>"9789179293987"</f>
        <v>9789179293987</v>
      </c>
      <c r="E4671" t="s">
        <v>1004</v>
      </c>
      <c r="F4671" s="1">
        <v>44796</v>
      </c>
    </row>
    <row r="4672" spans="1:6" x14ac:dyDescent="0.25">
      <c r="A4672">
        <v>7078310</v>
      </c>
      <c r="B4672" t="s">
        <v>4742</v>
      </c>
      <c r="C4672" t="str">
        <f>"9783031092848"</f>
        <v>9783031092848</v>
      </c>
      <c r="D4672" t="str">
        <f>"9783031092855"</f>
        <v>9783031092855</v>
      </c>
      <c r="E4672" t="s">
        <v>756</v>
      </c>
      <c r="F4672" s="1">
        <v>44803</v>
      </c>
    </row>
    <row r="4673" spans="1:6" x14ac:dyDescent="0.25">
      <c r="A4673">
        <v>7079081</v>
      </c>
      <c r="B4673" t="s">
        <v>4743</v>
      </c>
      <c r="C4673" t="str">
        <f>"9783031090073"</f>
        <v>9783031090073</v>
      </c>
      <c r="D4673" t="str">
        <f>"9783031090080"</f>
        <v>9783031090080</v>
      </c>
      <c r="E4673" t="s">
        <v>756</v>
      </c>
      <c r="F4673" s="1">
        <v>44804</v>
      </c>
    </row>
    <row r="4674" spans="1:6" x14ac:dyDescent="0.25">
      <c r="A4674">
        <v>7079584</v>
      </c>
      <c r="B4674" t="s">
        <v>4744</v>
      </c>
      <c r="C4674" t="str">
        <f>"9789811947582"</f>
        <v>9789811947582</v>
      </c>
      <c r="D4674" t="str">
        <f>"9789811947599"</f>
        <v>9789811947599</v>
      </c>
      <c r="E4674" t="s">
        <v>757</v>
      </c>
      <c r="F4674" s="1">
        <v>44803</v>
      </c>
    </row>
    <row r="4675" spans="1:6" x14ac:dyDescent="0.25">
      <c r="A4675">
        <v>7079588</v>
      </c>
      <c r="B4675" t="s">
        <v>4745</v>
      </c>
      <c r="C4675" t="str">
        <f>"9783031130700"</f>
        <v>9783031130700</v>
      </c>
      <c r="D4675" t="str">
        <f>"9783031130717"</f>
        <v>9783031130717</v>
      </c>
      <c r="E4675" t="s">
        <v>756</v>
      </c>
      <c r="F4675" s="1">
        <v>44804</v>
      </c>
    </row>
    <row r="4676" spans="1:6" x14ac:dyDescent="0.25">
      <c r="A4676">
        <v>7079591</v>
      </c>
      <c r="B4676" t="s">
        <v>4746</v>
      </c>
      <c r="C4676" t="str">
        <f>"9783658368173"</f>
        <v>9783658368173</v>
      </c>
      <c r="D4676" t="str">
        <f>"9783658368180"</f>
        <v>9783658368180</v>
      </c>
      <c r="E4676" t="s">
        <v>1391</v>
      </c>
      <c r="F4676" s="1">
        <v>44829</v>
      </c>
    </row>
    <row r="4677" spans="1:6" x14ac:dyDescent="0.25">
      <c r="A4677">
        <v>7079600</v>
      </c>
      <c r="B4677" t="s">
        <v>4747</v>
      </c>
      <c r="C4677" t="str">
        <f>"9789811926105"</f>
        <v>9789811926105</v>
      </c>
      <c r="D4677" t="str">
        <f>"9789811926112"</f>
        <v>9789811926112</v>
      </c>
      <c r="E4677" t="s">
        <v>885</v>
      </c>
      <c r="F4677" s="1">
        <v>44836</v>
      </c>
    </row>
    <row r="4678" spans="1:6" x14ac:dyDescent="0.25">
      <c r="A4678">
        <v>7079636</v>
      </c>
      <c r="B4678" t="s">
        <v>4748</v>
      </c>
      <c r="C4678" t="str">
        <f>"9783030976057"</f>
        <v>9783030976057</v>
      </c>
      <c r="D4678" t="str">
        <f>"9783030976064"</f>
        <v>9783030976064</v>
      </c>
      <c r="E4678" t="s">
        <v>756</v>
      </c>
      <c r="F4678" s="1">
        <v>44836</v>
      </c>
    </row>
    <row r="4679" spans="1:6" x14ac:dyDescent="0.25">
      <c r="A4679">
        <v>7079666</v>
      </c>
      <c r="B4679" t="s">
        <v>4749</v>
      </c>
      <c r="C4679" t="str">
        <f>"9789811951770"</f>
        <v>9789811951770</v>
      </c>
      <c r="D4679" t="str">
        <f>"9789811951787"</f>
        <v>9789811951787</v>
      </c>
      <c r="E4679" t="s">
        <v>757</v>
      </c>
      <c r="F4679" s="1">
        <v>44804</v>
      </c>
    </row>
    <row r="4680" spans="1:6" x14ac:dyDescent="0.25">
      <c r="A4680">
        <v>7080101</v>
      </c>
      <c r="B4680" t="s">
        <v>4750</v>
      </c>
      <c r="C4680" t="str">
        <f>"9783030978259"</f>
        <v>9783030978259</v>
      </c>
      <c r="D4680" t="str">
        <f>"9783030978266"</f>
        <v>9783030978266</v>
      </c>
      <c r="E4680" t="s">
        <v>756</v>
      </c>
      <c r="F4680" s="1">
        <v>44857</v>
      </c>
    </row>
    <row r="4681" spans="1:6" x14ac:dyDescent="0.25">
      <c r="A4681">
        <v>7080111</v>
      </c>
      <c r="B4681" t="s">
        <v>4751</v>
      </c>
      <c r="C4681" t="str">
        <f>"9783031118395"</f>
        <v>9783031118395</v>
      </c>
      <c r="D4681" t="str">
        <f>"9783031118401"</f>
        <v>9783031118401</v>
      </c>
      <c r="E4681" t="s">
        <v>756</v>
      </c>
      <c r="F4681" s="1">
        <v>44842</v>
      </c>
    </row>
    <row r="4682" spans="1:6" x14ac:dyDescent="0.25">
      <c r="A4682">
        <v>7080146</v>
      </c>
      <c r="B4682" t="s">
        <v>4752</v>
      </c>
      <c r="C4682" t="str">
        <f>"9783031097119"</f>
        <v>9783031097119</v>
      </c>
      <c r="D4682" t="str">
        <f>"9783031097126"</f>
        <v>9783031097126</v>
      </c>
      <c r="E4682" t="s">
        <v>756</v>
      </c>
      <c r="F4682" s="1">
        <v>44837</v>
      </c>
    </row>
    <row r="4683" spans="1:6" x14ac:dyDescent="0.25">
      <c r="A4683">
        <v>7080214</v>
      </c>
      <c r="B4683" t="s">
        <v>4753</v>
      </c>
      <c r="C4683" t="str">
        <f>"9783031159107"</f>
        <v>9783031159107</v>
      </c>
      <c r="D4683" t="str">
        <f>"9783031159114"</f>
        <v>9783031159114</v>
      </c>
      <c r="E4683" t="s">
        <v>756</v>
      </c>
      <c r="F4683" s="1">
        <v>44807</v>
      </c>
    </row>
    <row r="4684" spans="1:6" x14ac:dyDescent="0.25">
      <c r="A4684">
        <v>7080425</v>
      </c>
      <c r="B4684" t="s">
        <v>4754</v>
      </c>
      <c r="C4684" t="str">
        <f>""</f>
        <v/>
      </c>
      <c r="D4684" t="str">
        <f>"9789179294021"</f>
        <v>9789179294021</v>
      </c>
      <c r="E4684" t="s">
        <v>1004</v>
      </c>
      <c r="F4684" s="1">
        <v>44803</v>
      </c>
    </row>
    <row r="4685" spans="1:6" x14ac:dyDescent="0.25">
      <c r="A4685">
        <v>7080426</v>
      </c>
      <c r="B4685" t="s">
        <v>4755</v>
      </c>
      <c r="C4685" t="str">
        <f>""</f>
        <v/>
      </c>
      <c r="D4685" t="str">
        <f>"9789179292386"</f>
        <v>9789179292386</v>
      </c>
      <c r="E4685" t="s">
        <v>1004</v>
      </c>
      <c r="F4685" s="1">
        <v>44805</v>
      </c>
    </row>
    <row r="4686" spans="1:6" x14ac:dyDescent="0.25">
      <c r="A4686">
        <v>7080714</v>
      </c>
      <c r="B4686" t="s">
        <v>4756</v>
      </c>
      <c r="C4686" t="str">
        <f>"9783031132308"</f>
        <v>9783031132308</v>
      </c>
      <c r="D4686" t="str">
        <f>"9783031132315"</f>
        <v>9783031132315</v>
      </c>
      <c r="E4686" t="s">
        <v>756</v>
      </c>
      <c r="F4686" s="1">
        <v>44856</v>
      </c>
    </row>
    <row r="4687" spans="1:6" x14ac:dyDescent="0.25">
      <c r="A4687">
        <v>7080726</v>
      </c>
      <c r="B4687" t="s">
        <v>4757</v>
      </c>
      <c r="C4687" t="str">
        <f>"9783031106644"</f>
        <v>9783031106644</v>
      </c>
      <c r="D4687" t="str">
        <f>"9783031106651"</f>
        <v>9783031106651</v>
      </c>
      <c r="E4687" t="s">
        <v>756</v>
      </c>
      <c r="F4687" s="1">
        <v>44810</v>
      </c>
    </row>
    <row r="4688" spans="1:6" x14ac:dyDescent="0.25">
      <c r="A4688">
        <v>7081046</v>
      </c>
      <c r="B4688" t="s">
        <v>4758</v>
      </c>
      <c r="C4688" t="str">
        <f>"9783031046827"</f>
        <v>9783031046827</v>
      </c>
      <c r="D4688" t="str">
        <f>"9783031046834"</f>
        <v>9783031046834</v>
      </c>
      <c r="E4688" t="s">
        <v>756</v>
      </c>
      <c r="F4688" s="1">
        <v>44811</v>
      </c>
    </row>
    <row r="4689" spans="1:6" x14ac:dyDescent="0.25">
      <c r="A4689">
        <v>7081892</v>
      </c>
      <c r="B4689" t="s">
        <v>4759</v>
      </c>
      <c r="C4689" t="str">
        <f>"9783031135651"</f>
        <v>9783031135651</v>
      </c>
      <c r="D4689" t="str">
        <f>"9783031135668"</f>
        <v>9783031135668</v>
      </c>
      <c r="E4689" t="s">
        <v>756</v>
      </c>
      <c r="F4689" s="1">
        <v>44812</v>
      </c>
    </row>
    <row r="4690" spans="1:6" x14ac:dyDescent="0.25">
      <c r="A4690">
        <v>7083155</v>
      </c>
      <c r="B4690" t="s">
        <v>4760</v>
      </c>
      <c r="C4690" t="str">
        <f>"9783030986353"</f>
        <v>9783030986353</v>
      </c>
      <c r="D4690" t="str">
        <f>"9783030986360"</f>
        <v>9783030986360</v>
      </c>
      <c r="E4690" t="s">
        <v>756</v>
      </c>
      <c r="F4690" s="1">
        <v>44849</v>
      </c>
    </row>
    <row r="4691" spans="1:6" x14ac:dyDescent="0.25">
      <c r="A4691">
        <v>7083217</v>
      </c>
      <c r="B4691" t="s">
        <v>4761</v>
      </c>
      <c r="C4691" t="str">
        <f>"9783030860646"</f>
        <v>9783030860646</v>
      </c>
      <c r="D4691" t="str">
        <f>"9783030860653"</f>
        <v>9783030860653</v>
      </c>
      <c r="E4691" t="s">
        <v>756</v>
      </c>
      <c r="F4691" s="1">
        <v>44849</v>
      </c>
    </row>
    <row r="4692" spans="1:6" x14ac:dyDescent="0.25">
      <c r="A4692">
        <v>7084580</v>
      </c>
      <c r="B4692" t="s">
        <v>4762</v>
      </c>
      <c r="C4692" t="str">
        <f>"9783031058622"</f>
        <v>9783031058622</v>
      </c>
      <c r="D4692" t="str">
        <f>"9783031058639"</f>
        <v>9783031058639</v>
      </c>
      <c r="E4692" t="s">
        <v>756</v>
      </c>
      <c r="F4692" s="1">
        <v>44851</v>
      </c>
    </row>
    <row r="4693" spans="1:6" x14ac:dyDescent="0.25">
      <c r="A4693">
        <v>7084979</v>
      </c>
      <c r="B4693" t="s">
        <v>4763</v>
      </c>
      <c r="C4693" t="str">
        <f>"9783031127137"</f>
        <v>9783031127137</v>
      </c>
      <c r="D4693" t="str">
        <f>"9783031127144"</f>
        <v>9783031127144</v>
      </c>
      <c r="E4693" t="s">
        <v>756</v>
      </c>
      <c r="F4693" s="1">
        <v>44818</v>
      </c>
    </row>
    <row r="4694" spans="1:6" x14ac:dyDescent="0.25">
      <c r="A4694">
        <v>7084980</v>
      </c>
      <c r="B4694" t="s">
        <v>4764</v>
      </c>
      <c r="C4694" t="str">
        <f>"9783031106941"</f>
        <v>9783031106941</v>
      </c>
      <c r="D4694" t="str">
        <f>"9783031106958"</f>
        <v>9783031106958</v>
      </c>
      <c r="E4694" t="s">
        <v>756</v>
      </c>
      <c r="F4694" s="1">
        <v>44853</v>
      </c>
    </row>
    <row r="4695" spans="1:6" x14ac:dyDescent="0.25">
      <c r="A4695">
        <v>7087512</v>
      </c>
      <c r="B4695" t="s">
        <v>4765</v>
      </c>
      <c r="C4695" t="str">
        <f>"9783031084232"</f>
        <v>9783031084232</v>
      </c>
      <c r="D4695" t="str">
        <f>"9783031084249"</f>
        <v>9783031084249</v>
      </c>
      <c r="E4695" t="s">
        <v>756</v>
      </c>
      <c r="F4695" s="1">
        <v>44818</v>
      </c>
    </row>
    <row r="4696" spans="1:6" x14ac:dyDescent="0.25">
      <c r="A4696">
        <v>7087531</v>
      </c>
      <c r="B4696" t="s">
        <v>4766</v>
      </c>
      <c r="C4696" t="str">
        <f>"9783031135118"</f>
        <v>9783031135118</v>
      </c>
      <c r="D4696" t="str">
        <f>"9783031135125"</f>
        <v>9783031135125</v>
      </c>
      <c r="E4696" t="s">
        <v>756</v>
      </c>
      <c r="F4696" s="1">
        <v>44850</v>
      </c>
    </row>
    <row r="4697" spans="1:6" x14ac:dyDescent="0.25">
      <c r="A4697">
        <v>7097613</v>
      </c>
      <c r="B4697" t="s">
        <v>4767</v>
      </c>
      <c r="C4697" t="str">
        <f>"9783732865703"</f>
        <v>9783732865703</v>
      </c>
      <c r="D4697" t="str">
        <f>"9783839465707"</f>
        <v>9783839465707</v>
      </c>
      <c r="E4697" t="s">
        <v>2798</v>
      </c>
      <c r="F4697" s="1">
        <v>44805</v>
      </c>
    </row>
    <row r="4698" spans="1:6" x14ac:dyDescent="0.25">
      <c r="A4698">
        <v>7097802</v>
      </c>
      <c r="B4698" t="s">
        <v>4768</v>
      </c>
      <c r="C4698" t="str">
        <f>"9783031134937"</f>
        <v>9783031134937</v>
      </c>
      <c r="D4698" t="str">
        <f>"9783031134944"</f>
        <v>9783031134944</v>
      </c>
      <c r="E4698" t="s">
        <v>756</v>
      </c>
      <c r="F4698" s="1">
        <v>44824</v>
      </c>
    </row>
    <row r="4699" spans="1:6" x14ac:dyDescent="0.25">
      <c r="A4699">
        <v>7100628</v>
      </c>
      <c r="B4699" t="s">
        <v>4769</v>
      </c>
      <c r="C4699" t="str">
        <f>""</f>
        <v/>
      </c>
      <c r="D4699" t="str">
        <f>"9789179293840"</f>
        <v>9789179293840</v>
      </c>
      <c r="E4699" t="s">
        <v>1004</v>
      </c>
      <c r="F4699" s="1">
        <v>44827</v>
      </c>
    </row>
    <row r="4700" spans="1:6" x14ac:dyDescent="0.25">
      <c r="A4700">
        <v>7100629</v>
      </c>
      <c r="B4700" t="s">
        <v>4770</v>
      </c>
      <c r="C4700" t="str">
        <f>""</f>
        <v/>
      </c>
      <c r="D4700" t="str">
        <f>"9789179294205"</f>
        <v>9789179294205</v>
      </c>
      <c r="E4700" t="s">
        <v>1004</v>
      </c>
      <c r="F4700" s="1">
        <v>44827</v>
      </c>
    </row>
    <row r="4701" spans="1:6" x14ac:dyDescent="0.25">
      <c r="A4701">
        <v>7100830</v>
      </c>
      <c r="B4701" t="s">
        <v>4771</v>
      </c>
      <c r="C4701" t="str">
        <f>"9783428000098"</f>
        <v>9783428000098</v>
      </c>
      <c r="D4701" t="str">
        <f>"9783428400096"</f>
        <v>9783428400096</v>
      </c>
      <c r="E4701" t="s">
        <v>4772</v>
      </c>
      <c r="F4701" s="1">
        <v>44811</v>
      </c>
    </row>
    <row r="4702" spans="1:6" x14ac:dyDescent="0.25">
      <c r="A4702">
        <v>7100831</v>
      </c>
      <c r="B4702" t="s">
        <v>4773</v>
      </c>
      <c r="C4702" t="str">
        <f>"9783428000302"</f>
        <v>9783428000302</v>
      </c>
      <c r="D4702" t="str">
        <f>"9783428400300"</f>
        <v>9783428400300</v>
      </c>
      <c r="E4702" t="s">
        <v>4772</v>
      </c>
      <c r="F4702" s="1">
        <v>44811</v>
      </c>
    </row>
    <row r="4703" spans="1:6" x14ac:dyDescent="0.25">
      <c r="A4703">
        <v>7100832</v>
      </c>
      <c r="B4703" t="s">
        <v>4774</v>
      </c>
      <c r="C4703" t="str">
        <f>"9783428000869"</f>
        <v>9783428000869</v>
      </c>
      <c r="D4703" t="str">
        <f>"9783428400867"</f>
        <v>9783428400867</v>
      </c>
      <c r="E4703" t="s">
        <v>4772</v>
      </c>
      <c r="F4703" s="1">
        <v>44811</v>
      </c>
    </row>
    <row r="4704" spans="1:6" x14ac:dyDescent="0.25">
      <c r="A4704">
        <v>7100833</v>
      </c>
      <c r="B4704" t="s">
        <v>4775</v>
      </c>
      <c r="C4704" t="str">
        <f>"9783428000890"</f>
        <v>9783428000890</v>
      </c>
      <c r="D4704" t="str">
        <f>"9783428400898"</f>
        <v>9783428400898</v>
      </c>
      <c r="E4704" t="s">
        <v>4772</v>
      </c>
      <c r="F4704" s="1">
        <v>44811</v>
      </c>
    </row>
    <row r="4705" spans="1:6" x14ac:dyDescent="0.25">
      <c r="A4705">
        <v>7100834</v>
      </c>
      <c r="B4705" t="s">
        <v>4776</v>
      </c>
      <c r="C4705" t="str">
        <f>"9783428002429"</f>
        <v>9783428002429</v>
      </c>
      <c r="D4705" t="str">
        <f>"9783428402427"</f>
        <v>9783428402427</v>
      </c>
      <c r="E4705" t="s">
        <v>4772</v>
      </c>
      <c r="F4705" s="1">
        <v>44811</v>
      </c>
    </row>
    <row r="4706" spans="1:6" x14ac:dyDescent="0.25">
      <c r="A4706">
        <v>7100835</v>
      </c>
      <c r="B4706" t="s">
        <v>4777</v>
      </c>
      <c r="C4706" t="str">
        <f>"9783428003082"</f>
        <v>9783428003082</v>
      </c>
      <c r="D4706" t="str">
        <f>"9783428403080"</f>
        <v>9783428403080</v>
      </c>
      <c r="E4706" t="s">
        <v>4772</v>
      </c>
      <c r="F4706" s="1">
        <v>44811</v>
      </c>
    </row>
    <row r="4707" spans="1:6" x14ac:dyDescent="0.25">
      <c r="A4707">
        <v>7100836</v>
      </c>
      <c r="B4707" t="s">
        <v>4778</v>
      </c>
      <c r="C4707" t="str">
        <f>"9783428003372"</f>
        <v>9783428003372</v>
      </c>
      <c r="D4707" t="str">
        <f>"9783428403370"</f>
        <v>9783428403370</v>
      </c>
      <c r="E4707" t="s">
        <v>4772</v>
      </c>
      <c r="F4707" s="1">
        <v>44811</v>
      </c>
    </row>
    <row r="4708" spans="1:6" x14ac:dyDescent="0.25">
      <c r="A4708">
        <v>7100837</v>
      </c>
      <c r="B4708" t="s">
        <v>4779</v>
      </c>
      <c r="C4708" t="str">
        <f>"9783428003426"</f>
        <v>9783428003426</v>
      </c>
      <c r="D4708" t="str">
        <f>"9783428403424"</f>
        <v>9783428403424</v>
      </c>
      <c r="E4708" t="s">
        <v>4772</v>
      </c>
      <c r="F4708" s="1">
        <v>44811</v>
      </c>
    </row>
    <row r="4709" spans="1:6" x14ac:dyDescent="0.25">
      <c r="A4709">
        <v>7100838</v>
      </c>
      <c r="B4709" t="s">
        <v>4780</v>
      </c>
      <c r="C4709" t="str">
        <f>"9783428003693"</f>
        <v>9783428003693</v>
      </c>
      <c r="D4709" t="str">
        <f>"9783428403691"</f>
        <v>9783428403691</v>
      </c>
      <c r="E4709" t="s">
        <v>4772</v>
      </c>
      <c r="F4709" s="1">
        <v>44811</v>
      </c>
    </row>
    <row r="4710" spans="1:6" x14ac:dyDescent="0.25">
      <c r="A4710">
        <v>7100839</v>
      </c>
      <c r="B4710" t="s">
        <v>4781</v>
      </c>
      <c r="C4710" t="str">
        <f>"9783428003761"</f>
        <v>9783428003761</v>
      </c>
      <c r="D4710" t="str">
        <f>"9783428403769"</f>
        <v>9783428403769</v>
      </c>
      <c r="E4710" t="s">
        <v>4772</v>
      </c>
      <c r="F4710" s="1">
        <v>44811</v>
      </c>
    </row>
    <row r="4711" spans="1:6" x14ac:dyDescent="0.25">
      <c r="A4711">
        <v>7100840</v>
      </c>
      <c r="B4711" t="s">
        <v>4782</v>
      </c>
      <c r="C4711" t="str">
        <f>"9783428003792"</f>
        <v>9783428003792</v>
      </c>
      <c r="D4711" t="str">
        <f>"9783428403790"</f>
        <v>9783428403790</v>
      </c>
      <c r="E4711" t="s">
        <v>4772</v>
      </c>
      <c r="F4711" s="1">
        <v>44811</v>
      </c>
    </row>
    <row r="4712" spans="1:6" x14ac:dyDescent="0.25">
      <c r="A4712">
        <v>7100841</v>
      </c>
      <c r="B4712" t="s">
        <v>4783</v>
      </c>
      <c r="C4712" t="str">
        <f>"9783428004003"</f>
        <v>9783428004003</v>
      </c>
      <c r="D4712" t="str">
        <f>"9783428404001"</f>
        <v>9783428404001</v>
      </c>
      <c r="E4712" t="s">
        <v>4772</v>
      </c>
      <c r="F4712" s="1">
        <v>44811</v>
      </c>
    </row>
    <row r="4713" spans="1:6" x14ac:dyDescent="0.25">
      <c r="A4713">
        <v>7100842</v>
      </c>
      <c r="B4713" t="s">
        <v>4784</v>
      </c>
      <c r="C4713" t="str">
        <f>"9783428004928"</f>
        <v>9783428004928</v>
      </c>
      <c r="D4713" t="str">
        <f>"9783428404926"</f>
        <v>9783428404926</v>
      </c>
      <c r="E4713" t="s">
        <v>4772</v>
      </c>
      <c r="F4713" s="1">
        <v>44811</v>
      </c>
    </row>
    <row r="4714" spans="1:6" x14ac:dyDescent="0.25">
      <c r="A4714">
        <v>7100843</v>
      </c>
      <c r="B4714" t="s">
        <v>4785</v>
      </c>
      <c r="C4714" t="str">
        <f>"9783428005420"</f>
        <v>9783428005420</v>
      </c>
      <c r="D4714" t="str">
        <f>"9783428405428"</f>
        <v>9783428405428</v>
      </c>
      <c r="E4714" t="s">
        <v>4772</v>
      </c>
      <c r="F4714" s="1">
        <v>44811</v>
      </c>
    </row>
    <row r="4715" spans="1:6" x14ac:dyDescent="0.25">
      <c r="A4715">
        <v>7100844</v>
      </c>
      <c r="B4715" t="s">
        <v>4786</v>
      </c>
      <c r="C4715" t="str">
        <f>"9783428006083"</f>
        <v>9783428006083</v>
      </c>
      <c r="D4715" t="str">
        <f>"9783428406081"</f>
        <v>9783428406081</v>
      </c>
      <c r="E4715" t="s">
        <v>4772</v>
      </c>
      <c r="F4715" s="1">
        <v>44811</v>
      </c>
    </row>
    <row r="4716" spans="1:6" x14ac:dyDescent="0.25">
      <c r="A4716">
        <v>7100845</v>
      </c>
      <c r="B4716" t="s">
        <v>4787</v>
      </c>
      <c r="C4716" t="str">
        <f>"9783428007431"</f>
        <v>9783428007431</v>
      </c>
      <c r="D4716" t="str">
        <f>"9783428407439"</f>
        <v>9783428407439</v>
      </c>
      <c r="E4716" t="s">
        <v>4772</v>
      </c>
      <c r="F4716" s="1">
        <v>44811</v>
      </c>
    </row>
    <row r="4717" spans="1:6" x14ac:dyDescent="0.25">
      <c r="A4717">
        <v>7100846</v>
      </c>
      <c r="B4717" t="s">
        <v>4788</v>
      </c>
      <c r="C4717" t="str">
        <f>"9783428008094"</f>
        <v>9783428008094</v>
      </c>
      <c r="D4717" t="str">
        <f>"9783428408092"</f>
        <v>9783428408092</v>
      </c>
      <c r="E4717" t="s">
        <v>4772</v>
      </c>
      <c r="F4717" s="1">
        <v>44811</v>
      </c>
    </row>
    <row r="4718" spans="1:6" x14ac:dyDescent="0.25">
      <c r="A4718">
        <v>7100847</v>
      </c>
      <c r="B4718" t="s">
        <v>4789</v>
      </c>
      <c r="C4718" t="str">
        <f>"9783428008131"</f>
        <v>9783428008131</v>
      </c>
      <c r="D4718" t="str">
        <f>"9783428408139"</f>
        <v>9783428408139</v>
      </c>
      <c r="E4718" t="s">
        <v>4772</v>
      </c>
      <c r="F4718" s="1">
        <v>44811</v>
      </c>
    </row>
    <row r="4719" spans="1:6" x14ac:dyDescent="0.25">
      <c r="A4719">
        <v>7100848</v>
      </c>
      <c r="B4719" t="s">
        <v>4790</v>
      </c>
      <c r="C4719" t="str">
        <f>"9783428008452"</f>
        <v>9783428008452</v>
      </c>
      <c r="D4719" t="str">
        <f>"9783428408450"</f>
        <v>9783428408450</v>
      </c>
      <c r="E4719" t="s">
        <v>4772</v>
      </c>
      <c r="F4719" s="1">
        <v>44811</v>
      </c>
    </row>
    <row r="4720" spans="1:6" x14ac:dyDescent="0.25">
      <c r="A4720">
        <v>7100849</v>
      </c>
      <c r="B4720" t="s">
        <v>4791</v>
      </c>
      <c r="C4720" t="str">
        <f>"9783428010097"</f>
        <v>9783428010097</v>
      </c>
      <c r="D4720" t="str">
        <f>"9783428410095"</f>
        <v>9783428410095</v>
      </c>
      <c r="E4720" t="s">
        <v>4772</v>
      </c>
      <c r="F4720" s="1">
        <v>44811</v>
      </c>
    </row>
    <row r="4721" spans="1:6" x14ac:dyDescent="0.25">
      <c r="A4721">
        <v>7100850</v>
      </c>
      <c r="B4721" t="s">
        <v>4792</v>
      </c>
      <c r="C4721" t="str">
        <f>"9783428010585"</f>
        <v>9783428010585</v>
      </c>
      <c r="D4721" t="str">
        <f>"9783428410583"</f>
        <v>9783428410583</v>
      </c>
      <c r="E4721" t="s">
        <v>4772</v>
      </c>
      <c r="F4721" s="1">
        <v>44811</v>
      </c>
    </row>
    <row r="4722" spans="1:6" x14ac:dyDescent="0.25">
      <c r="A4722">
        <v>7100851</v>
      </c>
      <c r="B4722" t="s">
        <v>4793</v>
      </c>
      <c r="C4722" t="str">
        <f>"9783428011872"</f>
        <v>9783428011872</v>
      </c>
      <c r="D4722" t="str">
        <f>"9783428411870"</f>
        <v>9783428411870</v>
      </c>
      <c r="E4722" t="s">
        <v>4772</v>
      </c>
      <c r="F4722" s="1">
        <v>44811</v>
      </c>
    </row>
    <row r="4723" spans="1:6" x14ac:dyDescent="0.25">
      <c r="A4723">
        <v>7100852</v>
      </c>
      <c r="B4723" t="s">
        <v>4794</v>
      </c>
      <c r="C4723" t="str">
        <f>"9783428011896"</f>
        <v>9783428011896</v>
      </c>
      <c r="D4723" t="str">
        <f>"9783428411894"</f>
        <v>9783428411894</v>
      </c>
      <c r="E4723" t="s">
        <v>4772</v>
      </c>
      <c r="F4723" s="1">
        <v>44811</v>
      </c>
    </row>
    <row r="4724" spans="1:6" x14ac:dyDescent="0.25">
      <c r="A4724">
        <v>7100853</v>
      </c>
      <c r="B4724" t="s">
        <v>4795</v>
      </c>
      <c r="C4724" t="str">
        <f>"9783428011902"</f>
        <v>9783428011902</v>
      </c>
      <c r="D4724" t="str">
        <f>"9783428411900"</f>
        <v>9783428411900</v>
      </c>
      <c r="E4724" t="s">
        <v>4772</v>
      </c>
      <c r="F4724" s="1">
        <v>44811</v>
      </c>
    </row>
    <row r="4725" spans="1:6" x14ac:dyDescent="0.25">
      <c r="A4725">
        <v>7100854</v>
      </c>
      <c r="B4725" t="s">
        <v>4796</v>
      </c>
      <c r="C4725" t="str">
        <f>"9783428011919"</f>
        <v>9783428011919</v>
      </c>
      <c r="D4725" t="str">
        <f>"9783428411917"</f>
        <v>9783428411917</v>
      </c>
      <c r="E4725" t="s">
        <v>4772</v>
      </c>
      <c r="F4725" s="1">
        <v>44811</v>
      </c>
    </row>
    <row r="4726" spans="1:6" x14ac:dyDescent="0.25">
      <c r="A4726">
        <v>7100855</v>
      </c>
      <c r="B4726" t="s">
        <v>4797</v>
      </c>
      <c r="C4726" t="str">
        <f>"9783428011964"</f>
        <v>9783428011964</v>
      </c>
      <c r="D4726" t="str">
        <f>"9783428411962"</f>
        <v>9783428411962</v>
      </c>
      <c r="E4726" t="s">
        <v>4772</v>
      </c>
      <c r="F4726" s="1">
        <v>44811</v>
      </c>
    </row>
    <row r="4727" spans="1:6" x14ac:dyDescent="0.25">
      <c r="A4727">
        <v>7100856</v>
      </c>
      <c r="B4727" t="s">
        <v>4798</v>
      </c>
      <c r="C4727" t="str">
        <f>"9783428011988"</f>
        <v>9783428011988</v>
      </c>
      <c r="D4727" t="str">
        <f>"9783428411986"</f>
        <v>9783428411986</v>
      </c>
      <c r="E4727" t="s">
        <v>4772</v>
      </c>
      <c r="F4727" s="1">
        <v>44811</v>
      </c>
    </row>
    <row r="4728" spans="1:6" x14ac:dyDescent="0.25">
      <c r="A4728">
        <v>7100857</v>
      </c>
      <c r="B4728" t="s">
        <v>4799</v>
      </c>
      <c r="C4728" t="str">
        <f>"9783428013395"</f>
        <v>9783428013395</v>
      </c>
      <c r="D4728" t="str">
        <f>"9783428413393"</f>
        <v>9783428413393</v>
      </c>
      <c r="E4728" t="s">
        <v>4772</v>
      </c>
      <c r="F4728" s="1">
        <v>44811</v>
      </c>
    </row>
    <row r="4729" spans="1:6" x14ac:dyDescent="0.25">
      <c r="A4729">
        <v>7100858</v>
      </c>
      <c r="B4729" t="s">
        <v>4800</v>
      </c>
      <c r="C4729" t="str">
        <f>"9783428012268"</f>
        <v>9783428012268</v>
      </c>
      <c r="D4729" t="str">
        <f>"9783428412266"</f>
        <v>9783428412266</v>
      </c>
      <c r="E4729" t="s">
        <v>4772</v>
      </c>
      <c r="F4729" s="1">
        <v>44811</v>
      </c>
    </row>
    <row r="4730" spans="1:6" x14ac:dyDescent="0.25">
      <c r="A4730">
        <v>7100859</v>
      </c>
      <c r="B4730" t="s">
        <v>4801</v>
      </c>
      <c r="C4730" t="str">
        <f>"9783428014002"</f>
        <v>9783428014002</v>
      </c>
      <c r="D4730" t="str">
        <f>"9783428414000"</f>
        <v>9783428414000</v>
      </c>
      <c r="E4730" t="s">
        <v>4772</v>
      </c>
      <c r="F4730" s="1">
        <v>44811</v>
      </c>
    </row>
    <row r="4731" spans="1:6" x14ac:dyDescent="0.25">
      <c r="A4731">
        <v>7100860</v>
      </c>
      <c r="B4731" t="s">
        <v>4802</v>
      </c>
      <c r="C4731" t="str">
        <f>"9783428014040"</f>
        <v>9783428014040</v>
      </c>
      <c r="D4731" t="str">
        <f>"9783428414048"</f>
        <v>9783428414048</v>
      </c>
      <c r="E4731" t="s">
        <v>4772</v>
      </c>
      <c r="F4731" s="1">
        <v>44811</v>
      </c>
    </row>
    <row r="4732" spans="1:6" x14ac:dyDescent="0.25">
      <c r="A4732">
        <v>7100861</v>
      </c>
      <c r="B4732" t="s">
        <v>4803</v>
      </c>
      <c r="C4732" t="str">
        <f>"9783428014668"</f>
        <v>9783428014668</v>
      </c>
      <c r="D4732" t="str">
        <f>"9783428414666"</f>
        <v>9783428414666</v>
      </c>
      <c r="E4732" t="s">
        <v>4772</v>
      </c>
      <c r="F4732" s="1">
        <v>44811</v>
      </c>
    </row>
    <row r="4733" spans="1:6" x14ac:dyDescent="0.25">
      <c r="A4733">
        <v>7100862</v>
      </c>
      <c r="B4733" t="s">
        <v>4804</v>
      </c>
      <c r="C4733" t="str">
        <f>"9783428015078"</f>
        <v>9783428015078</v>
      </c>
      <c r="D4733" t="str">
        <f>"9783428415076"</f>
        <v>9783428415076</v>
      </c>
      <c r="E4733" t="s">
        <v>4772</v>
      </c>
      <c r="F4733" s="1">
        <v>44805</v>
      </c>
    </row>
    <row r="4734" spans="1:6" x14ac:dyDescent="0.25">
      <c r="A4734">
        <v>7100863</v>
      </c>
      <c r="B4734" t="s">
        <v>4805</v>
      </c>
      <c r="C4734" t="str">
        <f>"9783428015351"</f>
        <v>9783428015351</v>
      </c>
      <c r="D4734" t="str">
        <f>"9783428415359"</f>
        <v>9783428415359</v>
      </c>
      <c r="E4734" t="s">
        <v>4772</v>
      </c>
      <c r="F4734" s="1">
        <v>44805</v>
      </c>
    </row>
    <row r="4735" spans="1:6" x14ac:dyDescent="0.25">
      <c r="A4735">
        <v>7100864</v>
      </c>
      <c r="B4735" t="s">
        <v>4806</v>
      </c>
      <c r="C4735" t="str">
        <f>"9783428015085"</f>
        <v>9783428015085</v>
      </c>
      <c r="D4735" t="str">
        <f>"9783428415083"</f>
        <v>9783428415083</v>
      </c>
      <c r="E4735" t="s">
        <v>4772</v>
      </c>
      <c r="F4735" s="1">
        <v>44805</v>
      </c>
    </row>
    <row r="4736" spans="1:6" x14ac:dyDescent="0.25">
      <c r="A4736">
        <v>7100865</v>
      </c>
      <c r="B4736" t="s">
        <v>4807</v>
      </c>
      <c r="C4736" t="str">
        <f>"9783428015672"</f>
        <v>9783428015672</v>
      </c>
      <c r="D4736" t="str">
        <f>"9783428415670"</f>
        <v>9783428415670</v>
      </c>
      <c r="E4736" t="s">
        <v>4772</v>
      </c>
      <c r="F4736" s="1">
        <v>44805</v>
      </c>
    </row>
    <row r="4737" spans="1:6" x14ac:dyDescent="0.25">
      <c r="A4737">
        <v>7100866</v>
      </c>
      <c r="B4737" t="s">
        <v>4808</v>
      </c>
      <c r="C4737" t="str">
        <f>"9783428015702"</f>
        <v>9783428015702</v>
      </c>
      <c r="D4737" t="str">
        <f>"9783428415700"</f>
        <v>9783428415700</v>
      </c>
      <c r="E4737" t="s">
        <v>4772</v>
      </c>
      <c r="F4737" s="1">
        <v>44805</v>
      </c>
    </row>
    <row r="4738" spans="1:6" x14ac:dyDescent="0.25">
      <c r="A4738">
        <v>7100867</v>
      </c>
      <c r="B4738" t="s">
        <v>4809</v>
      </c>
      <c r="C4738" t="str">
        <f>"9783428016143"</f>
        <v>9783428016143</v>
      </c>
      <c r="D4738" t="str">
        <f>"9783428416141"</f>
        <v>9783428416141</v>
      </c>
      <c r="E4738" t="s">
        <v>4772</v>
      </c>
      <c r="F4738" s="1">
        <v>44805</v>
      </c>
    </row>
    <row r="4739" spans="1:6" x14ac:dyDescent="0.25">
      <c r="A4739">
        <v>7100868</v>
      </c>
      <c r="B4739" t="s">
        <v>4810</v>
      </c>
      <c r="C4739" t="str">
        <f>"9783428015733"</f>
        <v>9783428015733</v>
      </c>
      <c r="D4739" t="str">
        <f>"9783428415731"</f>
        <v>9783428415731</v>
      </c>
      <c r="E4739" t="s">
        <v>4772</v>
      </c>
      <c r="F4739" s="1">
        <v>44805</v>
      </c>
    </row>
    <row r="4740" spans="1:6" x14ac:dyDescent="0.25">
      <c r="A4740">
        <v>7100869</v>
      </c>
      <c r="B4740" t="s">
        <v>4811</v>
      </c>
      <c r="C4740" t="str">
        <f>"9783428016198"</f>
        <v>9783428016198</v>
      </c>
      <c r="D4740" t="str">
        <f>"9783428416196"</f>
        <v>9783428416196</v>
      </c>
      <c r="E4740" t="s">
        <v>4772</v>
      </c>
      <c r="F4740" s="1">
        <v>44805</v>
      </c>
    </row>
    <row r="4741" spans="1:6" x14ac:dyDescent="0.25">
      <c r="A4741">
        <v>7100870</v>
      </c>
      <c r="B4741" t="s">
        <v>4812</v>
      </c>
      <c r="C4741" t="str">
        <f>"9783428017126"</f>
        <v>9783428017126</v>
      </c>
      <c r="D4741" t="str">
        <f>"9783428417124"</f>
        <v>9783428417124</v>
      </c>
      <c r="E4741" t="s">
        <v>4772</v>
      </c>
      <c r="F4741" s="1">
        <v>44805</v>
      </c>
    </row>
    <row r="4742" spans="1:6" x14ac:dyDescent="0.25">
      <c r="A4742">
        <v>7100871</v>
      </c>
      <c r="B4742" t="s">
        <v>4813</v>
      </c>
      <c r="C4742" t="str">
        <f>"9783428017171"</f>
        <v>9783428017171</v>
      </c>
      <c r="D4742" t="str">
        <f>"9783428417179"</f>
        <v>9783428417179</v>
      </c>
      <c r="E4742" t="s">
        <v>4772</v>
      </c>
      <c r="F4742" s="1">
        <v>44805</v>
      </c>
    </row>
    <row r="4743" spans="1:6" x14ac:dyDescent="0.25">
      <c r="A4743">
        <v>7100872</v>
      </c>
      <c r="B4743" t="s">
        <v>4814</v>
      </c>
      <c r="C4743" t="str">
        <f>"9783428017188"</f>
        <v>9783428017188</v>
      </c>
      <c r="D4743" t="str">
        <f>"9783428417186"</f>
        <v>9783428417186</v>
      </c>
      <c r="E4743" t="s">
        <v>4772</v>
      </c>
      <c r="F4743" s="1">
        <v>44805</v>
      </c>
    </row>
    <row r="4744" spans="1:6" x14ac:dyDescent="0.25">
      <c r="A4744">
        <v>7100873</v>
      </c>
      <c r="B4744" t="s">
        <v>4815</v>
      </c>
      <c r="C4744" t="str">
        <f>"9783428017850"</f>
        <v>9783428017850</v>
      </c>
      <c r="D4744" t="str">
        <f>"9783428417858"</f>
        <v>9783428417858</v>
      </c>
      <c r="E4744" t="s">
        <v>4772</v>
      </c>
      <c r="F4744" s="1">
        <v>43521</v>
      </c>
    </row>
    <row r="4745" spans="1:6" x14ac:dyDescent="0.25">
      <c r="A4745">
        <v>7100874</v>
      </c>
      <c r="B4745" t="s">
        <v>4816</v>
      </c>
      <c r="C4745" t="str">
        <f>"9783428017904"</f>
        <v>9783428017904</v>
      </c>
      <c r="D4745" t="str">
        <f>"9783428417902"</f>
        <v>9783428417902</v>
      </c>
      <c r="E4745" t="s">
        <v>4772</v>
      </c>
      <c r="F4745" s="1">
        <v>44805</v>
      </c>
    </row>
    <row r="4746" spans="1:6" x14ac:dyDescent="0.25">
      <c r="A4746">
        <v>7100875</v>
      </c>
      <c r="B4746" t="s">
        <v>4817</v>
      </c>
      <c r="C4746" t="str">
        <f>"9783428017911"</f>
        <v>9783428017911</v>
      </c>
      <c r="D4746" t="str">
        <f>"9783428417919"</f>
        <v>9783428417919</v>
      </c>
      <c r="E4746" t="s">
        <v>4772</v>
      </c>
      <c r="F4746" s="1">
        <v>44805</v>
      </c>
    </row>
    <row r="4747" spans="1:6" x14ac:dyDescent="0.25">
      <c r="A4747">
        <v>7100876</v>
      </c>
      <c r="B4747" t="s">
        <v>4818</v>
      </c>
      <c r="C4747" t="str">
        <f>"9783428017928"</f>
        <v>9783428017928</v>
      </c>
      <c r="D4747" t="str">
        <f>"9783428417926"</f>
        <v>9783428417926</v>
      </c>
      <c r="E4747" t="s">
        <v>4772</v>
      </c>
      <c r="F4747" s="1">
        <v>44805</v>
      </c>
    </row>
    <row r="4748" spans="1:6" x14ac:dyDescent="0.25">
      <c r="A4748">
        <v>7100877</v>
      </c>
      <c r="B4748" t="s">
        <v>4819</v>
      </c>
      <c r="C4748" t="str">
        <f>"9783428019236"</f>
        <v>9783428019236</v>
      </c>
      <c r="D4748" t="str">
        <f>"9783428419234"</f>
        <v>9783428419234</v>
      </c>
      <c r="E4748" t="s">
        <v>4772</v>
      </c>
      <c r="F4748" s="1">
        <v>44805</v>
      </c>
    </row>
    <row r="4749" spans="1:6" x14ac:dyDescent="0.25">
      <c r="A4749">
        <v>7100878</v>
      </c>
      <c r="B4749" t="s">
        <v>4820</v>
      </c>
      <c r="C4749" t="str">
        <f>"9783428019243"</f>
        <v>9783428019243</v>
      </c>
      <c r="D4749" t="str">
        <f>"9783428419241"</f>
        <v>9783428419241</v>
      </c>
      <c r="E4749" t="s">
        <v>4772</v>
      </c>
      <c r="F4749" s="1">
        <v>44805</v>
      </c>
    </row>
    <row r="4750" spans="1:6" x14ac:dyDescent="0.25">
      <c r="A4750">
        <v>7100879</v>
      </c>
      <c r="B4750" t="s">
        <v>4821</v>
      </c>
      <c r="C4750" t="str">
        <f>"9783428021123"</f>
        <v>9783428021123</v>
      </c>
      <c r="D4750" t="str">
        <f>"9783428421121"</f>
        <v>9783428421121</v>
      </c>
      <c r="E4750" t="s">
        <v>4772</v>
      </c>
      <c r="F4750" s="1">
        <v>44805</v>
      </c>
    </row>
    <row r="4751" spans="1:6" x14ac:dyDescent="0.25">
      <c r="A4751">
        <v>7100880</v>
      </c>
      <c r="B4751" t="s">
        <v>4822</v>
      </c>
      <c r="C4751" t="str">
        <f>"9783428020430"</f>
        <v>9783428020430</v>
      </c>
      <c r="D4751" t="str">
        <f>"9783428420438"</f>
        <v>9783428420438</v>
      </c>
      <c r="E4751" t="s">
        <v>4772</v>
      </c>
      <c r="F4751" s="1">
        <v>44805</v>
      </c>
    </row>
    <row r="4752" spans="1:6" x14ac:dyDescent="0.25">
      <c r="A4752">
        <v>7100881</v>
      </c>
      <c r="B4752" t="s">
        <v>4823</v>
      </c>
      <c r="C4752" t="str">
        <f>"9783428021482"</f>
        <v>9783428021482</v>
      </c>
      <c r="D4752" t="str">
        <f>"9783428421480"</f>
        <v>9783428421480</v>
      </c>
      <c r="E4752" t="s">
        <v>4772</v>
      </c>
      <c r="F4752" s="1">
        <v>43521</v>
      </c>
    </row>
    <row r="4753" spans="1:6" x14ac:dyDescent="0.25">
      <c r="A4753">
        <v>7100882</v>
      </c>
      <c r="B4753" t="s">
        <v>4824</v>
      </c>
      <c r="C4753" t="str">
        <f>"9783428022052"</f>
        <v>9783428022052</v>
      </c>
      <c r="D4753" t="str">
        <f>"9783428422050"</f>
        <v>9783428422050</v>
      </c>
      <c r="E4753" t="s">
        <v>4772</v>
      </c>
      <c r="F4753" s="1">
        <v>43521</v>
      </c>
    </row>
    <row r="4754" spans="1:6" x14ac:dyDescent="0.25">
      <c r="A4754">
        <v>7100883</v>
      </c>
      <c r="B4754" t="s">
        <v>4825</v>
      </c>
      <c r="C4754" t="str">
        <f>"9783428022847"</f>
        <v>9783428022847</v>
      </c>
      <c r="D4754" t="str">
        <f>"9783428422845"</f>
        <v>9783428422845</v>
      </c>
      <c r="E4754" t="s">
        <v>4772</v>
      </c>
      <c r="F4754" s="1">
        <v>44805</v>
      </c>
    </row>
    <row r="4755" spans="1:6" x14ac:dyDescent="0.25">
      <c r="A4755">
        <v>7100884</v>
      </c>
      <c r="B4755" t="s">
        <v>4826</v>
      </c>
      <c r="C4755" t="str">
        <f>"9783428022854"</f>
        <v>9783428022854</v>
      </c>
      <c r="D4755" t="str">
        <f>"9783428422852"</f>
        <v>9783428422852</v>
      </c>
      <c r="E4755" t="s">
        <v>4772</v>
      </c>
      <c r="F4755" s="1">
        <v>44805</v>
      </c>
    </row>
    <row r="4756" spans="1:6" x14ac:dyDescent="0.25">
      <c r="A4756">
        <v>7100885</v>
      </c>
      <c r="B4756" t="s">
        <v>4827</v>
      </c>
      <c r="C4756" t="str">
        <f>"9783428023240"</f>
        <v>9783428023240</v>
      </c>
      <c r="D4756" t="str">
        <f>"9783428423248"</f>
        <v>9783428423248</v>
      </c>
      <c r="E4756" t="s">
        <v>4772</v>
      </c>
      <c r="F4756" s="1">
        <v>44804</v>
      </c>
    </row>
    <row r="4757" spans="1:6" x14ac:dyDescent="0.25">
      <c r="A4757">
        <v>7100886</v>
      </c>
      <c r="B4757" t="s">
        <v>4828</v>
      </c>
      <c r="C4757" t="str">
        <f>"9783428022977"</f>
        <v>9783428022977</v>
      </c>
      <c r="D4757" t="str">
        <f>"9783428422975"</f>
        <v>9783428422975</v>
      </c>
      <c r="E4757" t="s">
        <v>4772</v>
      </c>
      <c r="F4757" s="1">
        <v>44813</v>
      </c>
    </row>
    <row r="4758" spans="1:6" x14ac:dyDescent="0.25">
      <c r="A4758">
        <v>7100887</v>
      </c>
      <c r="B4758" t="s">
        <v>4829</v>
      </c>
      <c r="C4758" t="str">
        <f>"9783428023912"</f>
        <v>9783428023912</v>
      </c>
      <c r="D4758" t="str">
        <f>"9783428423910"</f>
        <v>9783428423910</v>
      </c>
      <c r="E4758" t="s">
        <v>4772</v>
      </c>
      <c r="F4758" s="1">
        <v>44804</v>
      </c>
    </row>
    <row r="4759" spans="1:6" x14ac:dyDescent="0.25">
      <c r="A4759">
        <v>7100888</v>
      </c>
      <c r="B4759" t="s">
        <v>4830</v>
      </c>
      <c r="C4759" t="str">
        <f>"9783428023806"</f>
        <v>9783428023806</v>
      </c>
      <c r="D4759" t="str">
        <f>"9783428423804"</f>
        <v>9783428423804</v>
      </c>
      <c r="E4759" t="s">
        <v>4772</v>
      </c>
      <c r="F4759" s="1">
        <v>44804</v>
      </c>
    </row>
    <row r="4760" spans="1:6" x14ac:dyDescent="0.25">
      <c r="A4760">
        <v>7100889</v>
      </c>
      <c r="B4760" t="s">
        <v>4831</v>
      </c>
      <c r="C4760" t="str">
        <f>"9783428024247"</f>
        <v>9783428024247</v>
      </c>
      <c r="D4760" t="str">
        <f>"9783428424245"</f>
        <v>9783428424245</v>
      </c>
      <c r="E4760" t="s">
        <v>4772</v>
      </c>
      <c r="F4760" s="1">
        <v>43521</v>
      </c>
    </row>
    <row r="4761" spans="1:6" x14ac:dyDescent="0.25">
      <c r="A4761">
        <v>7100890</v>
      </c>
      <c r="B4761" t="s">
        <v>4832</v>
      </c>
      <c r="C4761" t="str">
        <f>"9783428024575"</f>
        <v>9783428024575</v>
      </c>
      <c r="D4761" t="str">
        <f>"9783428424573"</f>
        <v>9783428424573</v>
      </c>
      <c r="E4761" t="s">
        <v>4772</v>
      </c>
      <c r="F4761" s="1">
        <v>43521</v>
      </c>
    </row>
    <row r="4762" spans="1:6" x14ac:dyDescent="0.25">
      <c r="A4762">
        <v>7100891</v>
      </c>
      <c r="B4762" t="s">
        <v>4833</v>
      </c>
      <c r="C4762" t="str">
        <f>"9783428025213"</f>
        <v>9783428025213</v>
      </c>
      <c r="D4762" t="str">
        <f>"9783428425211"</f>
        <v>9783428425211</v>
      </c>
      <c r="E4762" t="s">
        <v>4772</v>
      </c>
      <c r="F4762" s="1">
        <v>44804</v>
      </c>
    </row>
    <row r="4763" spans="1:6" x14ac:dyDescent="0.25">
      <c r="A4763">
        <v>7100892</v>
      </c>
      <c r="B4763" t="s">
        <v>4834</v>
      </c>
      <c r="C4763" t="str">
        <f>"9783428025237"</f>
        <v>9783428025237</v>
      </c>
      <c r="D4763" t="str">
        <f>"9783428425235"</f>
        <v>9783428425235</v>
      </c>
      <c r="E4763" t="s">
        <v>4772</v>
      </c>
      <c r="F4763" s="1">
        <v>44804</v>
      </c>
    </row>
    <row r="4764" spans="1:6" x14ac:dyDescent="0.25">
      <c r="A4764">
        <v>7100893</v>
      </c>
      <c r="B4764" t="s">
        <v>4835</v>
      </c>
      <c r="C4764" t="str">
        <f>"9783428025497"</f>
        <v>9783428025497</v>
      </c>
      <c r="D4764" t="str">
        <f>"9783428425495"</f>
        <v>9783428425495</v>
      </c>
      <c r="E4764" t="s">
        <v>4772</v>
      </c>
      <c r="F4764" s="1">
        <v>44804</v>
      </c>
    </row>
    <row r="4765" spans="1:6" x14ac:dyDescent="0.25">
      <c r="A4765">
        <v>7100894</v>
      </c>
      <c r="B4765" t="s">
        <v>4836</v>
      </c>
      <c r="C4765" t="str">
        <f>"9783428025527"</f>
        <v>9783428025527</v>
      </c>
      <c r="D4765" t="str">
        <f>"9783428425525"</f>
        <v>9783428425525</v>
      </c>
      <c r="E4765" t="s">
        <v>4772</v>
      </c>
      <c r="F4765" s="1">
        <v>44804</v>
      </c>
    </row>
    <row r="4766" spans="1:6" x14ac:dyDescent="0.25">
      <c r="A4766">
        <v>7100895</v>
      </c>
      <c r="B4766" t="s">
        <v>4837</v>
      </c>
      <c r="C4766" t="str">
        <f>"9783428025954"</f>
        <v>9783428025954</v>
      </c>
      <c r="D4766" t="str">
        <f>"9783428425952"</f>
        <v>9783428425952</v>
      </c>
      <c r="E4766" t="s">
        <v>4772</v>
      </c>
      <c r="F4766" s="1">
        <v>44804</v>
      </c>
    </row>
    <row r="4767" spans="1:6" x14ac:dyDescent="0.25">
      <c r="A4767">
        <v>7100896</v>
      </c>
      <c r="B4767" t="s">
        <v>4838</v>
      </c>
      <c r="C4767" t="str">
        <f>"9783428026296"</f>
        <v>9783428026296</v>
      </c>
      <c r="D4767" t="str">
        <f>"9783428426294"</f>
        <v>9783428426294</v>
      </c>
      <c r="E4767" t="s">
        <v>4772</v>
      </c>
      <c r="F4767" s="1">
        <v>44804</v>
      </c>
    </row>
    <row r="4768" spans="1:6" x14ac:dyDescent="0.25">
      <c r="A4768">
        <v>7100897</v>
      </c>
      <c r="B4768" t="s">
        <v>4839</v>
      </c>
      <c r="C4768" t="str">
        <f>"9783428026487"</f>
        <v>9783428026487</v>
      </c>
      <c r="D4768" t="str">
        <f>"9783428426485"</f>
        <v>9783428426485</v>
      </c>
      <c r="E4768" t="s">
        <v>4772</v>
      </c>
      <c r="F4768" s="1">
        <v>44804</v>
      </c>
    </row>
    <row r="4769" spans="1:6" x14ac:dyDescent="0.25">
      <c r="A4769">
        <v>7100898</v>
      </c>
      <c r="B4769" t="s">
        <v>4840</v>
      </c>
      <c r="C4769" t="str">
        <f>"9783428027583"</f>
        <v>9783428027583</v>
      </c>
      <c r="D4769" t="str">
        <f>"9783428427581"</f>
        <v>9783428427581</v>
      </c>
      <c r="E4769" t="s">
        <v>4772</v>
      </c>
      <c r="F4769" s="1">
        <v>43521</v>
      </c>
    </row>
    <row r="4770" spans="1:6" x14ac:dyDescent="0.25">
      <c r="A4770">
        <v>7100901</v>
      </c>
      <c r="B4770" t="s">
        <v>4841</v>
      </c>
      <c r="C4770" t="str">
        <f>"9783428026524"</f>
        <v>9783428026524</v>
      </c>
      <c r="D4770" t="str">
        <f>"9783428426522"</f>
        <v>9783428426522</v>
      </c>
      <c r="E4770" t="s">
        <v>4772</v>
      </c>
      <c r="F4770" s="1">
        <v>43521</v>
      </c>
    </row>
    <row r="4771" spans="1:6" x14ac:dyDescent="0.25">
      <c r="A4771">
        <v>7100902</v>
      </c>
      <c r="B4771" t="s">
        <v>4842</v>
      </c>
      <c r="C4771" t="str">
        <f>"9783428028146"</f>
        <v>9783428028146</v>
      </c>
      <c r="D4771" t="str">
        <f>"9783428428144"</f>
        <v>9783428428144</v>
      </c>
      <c r="E4771" t="s">
        <v>4772</v>
      </c>
      <c r="F4771" s="1">
        <v>44802</v>
      </c>
    </row>
    <row r="4772" spans="1:6" x14ac:dyDescent="0.25">
      <c r="A4772">
        <v>7100903</v>
      </c>
      <c r="B4772" t="s">
        <v>4843</v>
      </c>
      <c r="C4772" t="str">
        <f>"9783428028443"</f>
        <v>9783428028443</v>
      </c>
      <c r="D4772" t="str">
        <f>"9783428428441"</f>
        <v>9783428428441</v>
      </c>
      <c r="E4772" t="s">
        <v>4772</v>
      </c>
      <c r="F4772" s="1">
        <v>44802</v>
      </c>
    </row>
    <row r="4773" spans="1:6" x14ac:dyDescent="0.25">
      <c r="A4773">
        <v>7100904</v>
      </c>
      <c r="B4773" t="s">
        <v>4844</v>
      </c>
      <c r="C4773" t="str">
        <f>"9783428028726"</f>
        <v>9783428028726</v>
      </c>
      <c r="D4773" t="str">
        <f>"9783428428724"</f>
        <v>9783428428724</v>
      </c>
      <c r="E4773" t="s">
        <v>4772</v>
      </c>
      <c r="F4773" s="1">
        <v>44802</v>
      </c>
    </row>
    <row r="4774" spans="1:6" x14ac:dyDescent="0.25">
      <c r="A4774">
        <v>7100905</v>
      </c>
      <c r="B4774" t="s">
        <v>4845</v>
      </c>
      <c r="C4774" t="str">
        <f>"9783428028931"</f>
        <v>9783428028931</v>
      </c>
      <c r="D4774" t="str">
        <f>"9783428428939"</f>
        <v>9783428428939</v>
      </c>
      <c r="E4774" t="s">
        <v>4772</v>
      </c>
      <c r="F4774" s="1">
        <v>44802</v>
      </c>
    </row>
    <row r="4775" spans="1:6" x14ac:dyDescent="0.25">
      <c r="A4775">
        <v>7100906</v>
      </c>
      <c r="B4775" t="s">
        <v>4846</v>
      </c>
      <c r="C4775" t="str">
        <f>"9783428029341"</f>
        <v>9783428029341</v>
      </c>
      <c r="D4775" t="str">
        <f>"9783428429349"</f>
        <v>9783428429349</v>
      </c>
      <c r="E4775" t="s">
        <v>4772</v>
      </c>
      <c r="F4775" s="1">
        <v>44802</v>
      </c>
    </row>
    <row r="4776" spans="1:6" x14ac:dyDescent="0.25">
      <c r="A4776">
        <v>7100907</v>
      </c>
      <c r="B4776" t="s">
        <v>4847</v>
      </c>
      <c r="C4776" t="str">
        <f>"9783428029631"</f>
        <v>9783428029631</v>
      </c>
      <c r="D4776" t="str">
        <f>"9783428429639"</f>
        <v>9783428429639</v>
      </c>
      <c r="E4776" t="s">
        <v>4772</v>
      </c>
      <c r="F4776" s="1">
        <v>44802</v>
      </c>
    </row>
    <row r="4777" spans="1:6" x14ac:dyDescent="0.25">
      <c r="A4777">
        <v>7100908</v>
      </c>
      <c r="B4777" t="s">
        <v>4848</v>
      </c>
      <c r="C4777" t="str">
        <f>"9783428029648"</f>
        <v>9783428029648</v>
      </c>
      <c r="D4777" t="str">
        <f>"9783428429646"</f>
        <v>9783428429646</v>
      </c>
      <c r="E4777" t="s">
        <v>4772</v>
      </c>
      <c r="F4777" s="1">
        <v>44802</v>
      </c>
    </row>
    <row r="4778" spans="1:6" x14ac:dyDescent="0.25">
      <c r="A4778">
        <v>7100909</v>
      </c>
      <c r="B4778" t="s">
        <v>4849</v>
      </c>
      <c r="C4778" t="str">
        <f>"9783428029860"</f>
        <v>9783428029860</v>
      </c>
      <c r="D4778" t="str">
        <f>"9783428429868"</f>
        <v>9783428429868</v>
      </c>
      <c r="E4778" t="s">
        <v>4772</v>
      </c>
      <c r="F4778" s="1">
        <v>44802</v>
      </c>
    </row>
    <row r="4779" spans="1:6" x14ac:dyDescent="0.25">
      <c r="A4779">
        <v>7100910</v>
      </c>
      <c r="B4779" t="s">
        <v>4850</v>
      </c>
      <c r="C4779" t="str">
        <f>"9783428031184"</f>
        <v>9783428031184</v>
      </c>
      <c r="D4779" t="str">
        <f>"9783428431182"</f>
        <v>9783428431182</v>
      </c>
      <c r="E4779" t="s">
        <v>4772</v>
      </c>
      <c r="F4779" s="1">
        <v>44802</v>
      </c>
    </row>
    <row r="4780" spans="1:6" x14ac:dyDescent="0.25">
      <c r="A4780">
        <v>7100911</v>
      </c>
      <c r="B4780" t="s">
        <v>4851</v>
      </c>
      <c r="C4780" t="str">
        <f>"9783428030996"</f>
        <v>9783428030996</v>
      </c>
      <c r="D4780" t="str">
        <f>"9783428430994"</f>
        <v>9783428430994</v>
      </c>
      <c r="E4780" t="s">
        <v>4772</v>
      </c>
      <c r="F4780" s="1">
        <v>43521</v>
      </c>
    </row>
    <row r="4781" spans="1:6" x14ac:dyDescent="0.25">
      <c r="A4781">
        <v>7100912</v>
      </c>
      <c r="B4781" t="s">
        <v>4852</v>
      </c>
      <c r="C4781" t="str">
        <f>"9783428031672"</f>
        <v>9783428031672</v>
      </c>
      <c r="D4781" t="str">
        <f>"9783428431670"</f>
        <v>9783428431670</v>
      </c>
      <c r="E4781" t="s">
        <v>4772</v>
      </c>
      <c r="F4781" s="1">
        <v>44802</v>
      </c>
    </row>
    <row r="4782" spans="1:6" x14ac:dyDescent="0.25">
      <c r="A4782">
        <v>7100913</v>
      </c>
      <c r="B4782" t="s">
        <v>4853</v>
      </c>
      <c r="C4782" t="str">
        <f>"9783428032099"</f>
        <v>9783428032099</v>
      </c>
      <c r="D4782" t="str">
        <f>"9783428432097"</f>
        <v>9783428432097</v>
      </c>
      <c r="E4782" t="s">
        <v>4772</v>
      </c>
      <c r="F4782" s="1">
        <v>44802</v>
      </c>
    </row>
    <row r="4783" spans="1:6" x14ac:dyDescent="0.25">
      <c r="A4783">
        <v>7100914</v>
      </c>
      <c r="B4783" t="s">
        <v>4854</v>
      </c>
      <c r="C4783" t="str">
        <f>"9783428032716"</f>
        <v>9783428032716</v>
      </c>
      <c r="D4783" t="str">
        <f>"9783428432714"</f>
        <v>9783428432714</v>
      </c>
      <c r="E4783" t="s">
        <v>4772</v>
      </c>
      <c r="F4783" s="1">
        <v>44802</v>
      </c>
    </row>
    <row r="4784" spans="1:6" x14ac:dyDescent="0.25">
      <c r="A4784">
        <v>7100915</v>
      </c>
      <c r="B4784" t="s">
        <v>4855</v>
      </c>
      <c r="C4784" t="str">
        <f>"9783428033010"</f>
        <v>9783428033010</v>
      </c>
      <c r="D4784" t="str">
        <f>"9783428433018"</f>
        <v>9783428433018</v>
      </c>
      <c r="E4784" t="s">
        <v>4772</v>
      </c>
      <c r="F4784" s="1">
        <v>44802</v>
      </c>
    </row>
    <row r="4785" spans="1:6" x14ac:dyDescent="0.25">
      <c r="A4785">
        <v>7100916</v>
      </c>
      <c r="B4785" t="s">
        <v>4856</v>
      </c>
      <c r="C4785" t="str">
        <f>"9783428033478"</f>
        <v>9783428033478</v>
      </c>
      <c r="D4785" t="str">
        <f>"9783428433476"</f>
        <v>9783428433476</v>
      </c>
      <c r="E4785" t="s">
        <v>4772</v>
      </c>
      <c r="F4785" s="1">
        <v>44802</v>
      </c>
    </row>
    <row r="4786" spans="1:6" x14ac:dyDescent="0.25">
      <c r="A4786">
        <v>7100917</v>
      </c>
      <c r="B4786" t="s">
        <v>4857</v>
      </c>
      <c r="C4786" t="str">
        <f>"9783428033782"</f>
        <v>9783428033782</v>
      </c>
      <c r="D4786" t="str">
        <f>"9783428433780"</f>
        <v>9783428433780</v>
      </c>
      <c r="E4786" t="s">
        <v>4772</v>
      </c>
      <c r="F4786" s="1">
        <v>44829</v>
      </c>
    </row>
    <row r="4787" spans="1:6" x14ac:dyDescent="0.25">
      <c r="A4787">
        <v>7100918</v>
      </c>
      <c r="B4787" t="s">
        <v>4858</v>
      </c>
      <c r="C4787" t="str">
        <f>"9783428034277"</f>
        <v>9783428034277</v>
      </c>
      <c r="D4787" t="str">
        <f>"9783428434275"</f>
        <v>9783428434275</v>
      </c>
      <c r="E4787" t="s">
        <v>4772</v>
      </c>
      <c r="F4787" s="1">
        <v>44802</v>
      </c>
    </row>
    <row r="4788" spans="1:6" x14ac:dyDescent="0.25">
      <c r="A4788">
        <v>7100919</v>
      </c>
      <c r="B4788" t="s">
        <v>4859</v>
      </c>
      <c r="C4788" t="str">
        <f>"9783428034635"</f>
        <v>9783428034635</v>
      </c>
      <c r="D4788" t="str">
        <f>"9783428434633"</f>
        <v>9783428434633</v>
      </c>
      <c r="E4788" t="s">
        <v>4772</v>
      </c>
      <c r="F4788" s="1">
        <v>44800</v>
      </c>
    </row>
    <row r="4789" spans="1:6" x14ac:dyDescent="0.25">
      <c r="A4789">
        <v>7100920</v>
      </c>
      <c r="B4789" t="s">
        <v>4860</v>
      </c>
      <c r="C4789" t="str">
        <f>"9783428034406"</f>
        <v>9783428034406</v>
      </c>
      <c r="D4789" t="str">
        <f>"9783428434404"</f>
        <v>9783428434404</v>
      </c>
      <c r="E4789" t="s">
        <v>4772</v>
      </c>
      <c r="F4789" s="1">
        <v>43521</v>
      </c>
    </row>
    <row r="4790" spans="1:6" x14ac:dyDescent="0.25">
      <c r="A4790">
        <v>7100921</v>
      </c>
      <c r="B4790" t="s">
        <v>4861</v>
      </c>
      <c r="C4790" t="str">
        <f>"9783428034642"</f>
        <v>9783428034642</v>
      </c>
      <c r="D4790" t="str">
        <f>"9783428434640"</f>
        <v>9783428434640</v>
      </c>
      <c r="E4790" t="s">
        <v>4772</v>
      </c>
      <c r="F4790" s="1">
        <v>44800</v>
      </c>
    </row>
    <row r="4791" spans="1:6" x14ac:dyDescent="0.25">
      <c r="A4791">
        <v>7100922</v>
      </c>
      <c r="B4791" t="s">
        <v>4862</v>
      </c>
      <c r="C4791" t="str">
        <f>"9783428034697"</f>
        <v>9783428034697</v>
      </c>
      <c r="D4791" t="str">
        <f>"9783428434695"</f>
        <v>9783428434695</v>
      </c>
      <c r="E4791" t="s">
        <v>4772</v>
      </c>
      <c r="F4791" s="1">
        <v>44800</v>
      </c>
    </row>
    <row r="4792" spans="1:6" x14ac:dyDescent="0.25">
      <c r="A4792">
        <v>7100923</v>
      </c>
      <c r="B4792" t="s">
        <v>4863</v>
      </c>
      <c r="C4792" t="str">
        <f>"9783428035380"</f>
        <v>9783428035380</v>
      </c>
      <c r="D4792" t="str">
        <f>"9783428435388"</f>
        <v>9783428435388</v>
      </c>
      <c r="E4792" t="s">
        <v>4772</v>
      </c>
      <c r="F4792" s="1">
        <v>44800</v>
      </c>
    </row>
    <row r="4793" spans="1:6" x14ac:dyDescent="0.25">
      <c r="A4793">
        <v>7100924</v>
      </c>
      <c r="B4793" t="s">
        <v>4864</v>
      </c>
      <c r="C4793" t="str">
        <f>"9783428035588"</f>
        <v>9783428035588</v>
      </c>
      <c r="D4793" t="str">
        <f>"9783428435586"</f>
        <v>9783428435586</v>
      </c>
      <c r="E4793" t="s">
        <v>4772</v>
      </c>
      <c r="F4793" s="1">
        <v>44800</v>
      </c>
    </row>
    <row r="4794" spans="1:6" x14ac:dyDescent="0.25">
      <c r="A4794">
        <v>7100925</v>
      </c>
      <c r="B4794" t="s">
        <v>4865</v>
      </c>
      <c r="C4794" t="str">
        <f>"9783428035748"</f>
        <v>9783428035748</v>
      </c>
      <c r="D4794" t="str">
        <f>"9783428435746"</f>
        <v>9783428435746</v>
      </c>
      <c r="E4794" t="s">
        <v>4772</v>
      </c>
      <c r="F4794" s="1">
        <v>43521</v>
      </c>
    </row>
    <row r="4795" spans="1:6" x14ac:dyDescent="0.25">
      <c r="A4795">
        <v>7100926</v>
      </c>
      <c r="B4795" t="s">
        <v>4866</v>
      </c>
      <c r="C4795" t="str">
        <f>"9783428035809"</f>
        <v>9783428035809</v>
      </c>
      <c r="D4795" t="str">
        <f>"9783428435807"</f>
        <v>9783428435807</v>
      </c>
      <c r="E4795" t="s">
        <v>4772</v>
      </c>
      <c r="F4795" s="1">
        <v>43521</v>
      </c>
    </row>
    <row r="4796" spans="1:6" x14ac:dyDescent="0.25">
      <c r="A4796">
        <v>7100927</v>
      </c>
      <c r="B4796" t="s">
        <v>4867</v>
      </c>
      <c r="C4796" t="str">
        <f>"9783428036189"</f>
        <v>9783428036189</v>
      </c>
      <c r="D4796" t="str">
        <f>"9783428436187"</f>
        <v>9783428436187</v>
      </c>
      <c r="E4796" t="s">
        <v>4772</v>
      </c>
      <c r="F4796" s="1">
        <v>44800</v>
      </c>
    </row>
    <row r="4797" spans="1:6" x14ac:dyDescent="0.25">
      <c r="A4797">
        <v>7100928</v>
      </c>
      <c r="B4797" t="s">
        <v>4868</v>
      </c>
      <c r="C4797" t="str">
        <f>"9783428036356"</f>
        <v>9783428036356</v>
      </c>
      <c r="D4797" t="str">
        <f>"9783428436354"</f>
        <v>9783428436354</v>
      </c>
      <c r="E4797" t="s">
        <v>4772</v>
      </c>
      <c r="F4797" s="1">
        <v>44800</v>
      </c>
    </row>
    <row r="4798" spans="1:6" x14ac:dyDescent="0.25">
      <c r="A4798">
        <v>7100929</v>
      </c>
      <c r="B4798" t="s">
        <v>4869</v>
      </c>
      <c r="C4798" t="str">
        <f>"9783428036684"</f>
        <v>9783428036684</v>
      </c>
      <c r="D4798" t="str">
        <f>"9783428436682"</f>
        <v>9783428436682</v>
      </c>
      <c r="E4798" t="s">
        <v>4772</v>
      </c>
      <c r="F4798" s="1">
        <v>44800</v>
      </c>
    </row>
    <row r="4799" spans="1:6" x14ac:dyDescent="0.25">
      <c r="A4799">
        <v>7100930</v>
      </c>
      <c r="B4799" t="s">
        <v>4870</v>
      </c>
      <c r="C4799" t="str">
        <f>""</f>
        <v/>
      </c>
      <c r="D4799" t="str">
        <f>"9783428437214"</f>
        <v>9783428437214</v>
      </c>
      <c r="E4799" t="s">
        <v>4772</v>
      </c>
      <c r="F4799" s="1">
        <v>44829</v>
      </c>
    </row>
    <row r="4800" spans="1:6" x14ac:dyDescent="0.25">
      <c r="A4800">
        <v>7100931</v>
      </c>
      <c r="B4800" t="s">
        <v>4871</v>
      </c>
      <c r="C4800" t="str">
        <f>"9783428037933"</f>
        <v>9783428037933</v>
      </c>
      <c r="D4800" t="str">
        <f>"9783428437931"</f>
        <v>9783428437931</v>
      </c>
      <c r="E4800" t="s">
        <v>4772</v>
      </c>
      <c r="F4800" s="1">
        <v>43521</v>
      </c>
    </row>
    <row r="4801" spans="1:6" x14ac:dyDescent="0.25">
      <c r="A4801">
        <v>7100932</v>
      </c>
      <c r="B4801" t="s">
        <v>4872</v>
      </c>
      <c r="C4801" t="str">
        <f>"9783428037988"</f>
        <v>9783428037988</v>
      </c>
      <c r="D4801" t="str">
        <f>"9783428437986"</f>
        <v>9783428437986</v>
      </c>
      <c r="E4801" t="s">
        <v>4772</v>
      </c>
      <c r="F4801" s="1">
        <v>44800</v>
      </c>
    </row>
    <row r="4802" spans="1:6" x14ac:dyDescent="0.25">
      <c r="A4802">
        <v>7100933</v>
      </c>
      <c r="B4802" t="s">
        <v>4873</v>
      </c>
      <c r="C4802" t="str">
        <f>"9783428038916"</f>
        <v>9783428038916</v>
      </c>
      <c r="D4802" t="str">
        <f>"9783428438914"</f>
        <v>9783428438914</v>
      </c>
      <c r="E4802" t="s">
        <v>4772</v>
      </c>
      <c r="F4802" s="1">
        <v>44800</v>
      </c>
    </row>
    <row r="4803" spans="1:6" x14ac:dyDescent="0.25">
      <c r="A4803">
        <v>7100934</v>
      </c>
      <c r="B4803" t="s">
        <v>4874</v>
      </c>
      <c r="C4803" t="str">
        <f>"9783428038985"</f>
        <v>9783428038985</v>
      </c>
      <c r="D4803" t="str">
        <f>"9783428438983"</f>
        <v>9783428438983</v>
      </c>
      <c r="E4803" t="s">
        <v>4772</v>
      </c>
      <c r="F4803" s="1">
        <v>43521</v>
      </c>
    </row>
    <row r="4804" spans="1:6" x14ac:dyDescent="0.25">
      <c r="A4804">
        <v>7100935</v>
      </c>
      <c r="B4804" t="s">
        <v>4875</v>
      </c>
      <c r="C4804" t="str">
        <f>"9783428039142"</f>
        <v>9783428039142</v>
      </c>
      <c r="D4804" t="str">
        <f>"9783428439140"</f>
        <v>9783428439140</v>
      </c>
      <c r="E4804" t="s">
        <v>4772</v>
      </c>
      <c r="F4804" s="1">
        <v>44794</v>
      </c>
    </row>
    <row r="4805" spans="1:6" x14ac:dyDescent="0.25">
      <c r="A4805">
        <v>7100936</v>
      </c>
      <c r="B4805" t="s">
        <v>4876</v>
      </c>
      <c r="C4805" t="str">
        <f>"9783428040483"</f>
        <v>9783428040483</v>
      </c>
      <c r="D4805" t="str">
        <f>"9783428440481"</f>
        <v>9783428440481</v>
      </c>
      <c r="E4805" t="s">
        <v>4772</v>
      </c>
      <c r="F4805" s="1">
        <v>43521</v>
      </c>
    </row>
    <row r="4806" spans="1:6" x14ac:dyDescent="0.25">
      <c r="A4806">
        <v>7100937</v>
      </c>
      <c r="B4806" t="s">
        <v>4877</v>
      </c>
      <c r="C4806" t="str">
        <f>"9783428040544"</f>
        <v>9783428040544</v>
      </c>
      <c r="D4806" t="str">
        <f>"9783428440542"</f>
        <v>9783428440542</v>
      </c>
      <c r="E4806" t="s">
        <v>4772</v>
      </c>
      <c r="F4806" s="1">
        <v>44794</v>
      </c>
    </row>
    <row r="4807" spans="1:6" x14ac:dyDescent="0.25">
      <c r="A4807">
        <v>7100940</v>
      </c>
      <c r="B4807" t="s">
        <v>4878</v>
      </c>
      <c r="C4807" t="str">
        <f>"9783428041022"</f>
        <v>9783428041022</v>
      </c>
      <c r="D4807" t="str">
        <f>"9783428441020"</f>
        <v>9783428441020</v>
      </c>
      <c r="E4807" t="s">
        <v>4772</v>
      </c>
      <c r="F4807" s="1">
        <v>44794</v>
      </c>
    </row>
    <row r="4808" spans="1:6" x14ac:dyDescent="0.25">
      <c r="A4808">
        <v>7100944</v>
      </c>
      <c r="B4808" t="s">
        <v>4879</v>
      </c>
      <c r="C4808" t="str">
        <f>"9783428041169"</f>
        <v>9783428041169</v>
      </c>
      <c r="D4808" t="str">
        <f>"9783428441167"</f>
        <v>9783428441167</v>
      </c>
      <c r="E4808" t="s">
        <v>4772</v>
      </c>
      <c r="F4808" s="1">
        <v>44794</v>
      </c>
    </row>
    <row r="4809" spans="1:6" x14ac:dyDescent="0.25">
      <c r="A4809">
        <v>7100949</v>
      </c>
      <c r="B4809" t="s">
        <v>4880</v>
      </c>
      <c r="C4809" t="str">
        <f>"9783428041336"</f>
        <v>9783428041336</v>
      </c>
      <c r="D4809" t="str">
        <f>"9783428441334"</f>
        <v>9783428441334</v>
      </c>
      <c r="E4809" t="s">
        <v>4772</v>
      </c>
      <c r="F4809" s="1">
        <v>44794</v>
      </c>
    </row>
    <row r="4810" spans="1:6" x14ac:dyDescent="0.25">
      <c r="A4810">
        <v>7100954</v>
      </c>
      <c r="B4810" t="s">
        <v>4881</v>
      </c>
      <c r="C4810" t="str">
        <f>"9783428041473"</f>
        <v>9783428041473</v>
      </c>
      <c r="D4810" t="str">
        <f>"9783428441471"</f>
        <v>9783428441471</v>
      </c>
      <c r="E4810" t="s">
        <v>4772</v>
      </c>
      <c r="F4810" s="1">
        <v>44794</v>
      </c>
    </row>
    <row r="4811" spans="1:6" x14ac:dyDescent="0.25">
      <c r="A4811">
        <v>7100958</v>
      </c>
      <c r="B4811" t="s">
        <v>4882</v>
      </c>
      <c r="C4811" t="str">
        <f>"9783428041503"</f>
        <v>9783428041503</v>
      </c>
      <c r="D4811" t="str">
        <f>"9783428441501"</f>
        <v>9783428441501</v>
      </c>
      <c r="E4811" t="s">
        <v>4772</v>
      </c>
      <c r="F4811" s="1">
        <v>44794</v>
      </c>
    </row>
    <row r="4812" spans="1:6" x14ac:dyDescent="0.25">
      <c r="A4812">
        <v>7100963</v>
      </c>
      <c r="B4812" t="s">
        <v>4883</v>
      </c>
      <c r="C4812" t="str">
        <f>"9783428041510"</f>
        <v>9783428041510</v>
      </c>
      <c r="D4812" t="str">
        <f>"9783428441518"</f>
        <v>9783428441518</v>
      </c>
      <c r="E4812" t="s">
        <v>4772</v>
      </c>
      <c r="F4812" s="1">
        <v>44794</v>
      </c>
    </row>
    <row r="4813" spans="1:6" x14ac:dyDescent="0.25">
      <c r="A4813">
        <v>7100965</v>
      </c>
      <c r="B4813" t="s">
        <v>4884</v>
      </c>
      <c r="C4813" t="str">
        <f>"9783428041640"</f>
        <v>9783428041640</v>
      </c>
      <c r="D4813" t="str">
        <f>"9783428441648"</f>
        <v>9783428441648</v>
      </c>
      <c r="E4813" t="s">
        <v>4772</v>
      </c>
      <c r="F4813" s="1">
        <v>44794</v>
      </c>
    </row>
    <row r="4814" spans="1:6" x14ac:dyDescent="0.25">
      <c r="A4814">
        <v>7100967</v>
      </c>
      <c r="B4814" t="s">
        <v>4885</v>
      </c>
      <c r="C4814" t="str">
        <f>"9783428041664"</f>
        <v>9783428041664</v>
      </c>
      <c r="D4814" t="str">
        <f>"9783428441662"</f>
        <v>9783428441662</v>
      </c>
      <c r="E4814" t="s">
        <v>4772</v>
      </c>
      <c r="F4814" s="1">
        <v>44794</v>
      </c>
    </row>
    <row r="4815" spans="1:6" x14ac:dyDescent="0.25">
      <c r="A4815">
        <v>7100968</v>
      </c>
      <c r="B4815" t="s">
        <v>4886</v>
      </c>
      <c r="C4815" t="str">
        <f>"9783428041787"</f>
        <v>9783428041787</v>
      </c>
      <c r="D4815" t="str">
        <f>"9783428441785"</f>
        <v>9783428441785</v>
      </c>
      <c r="E4815" t="s">
        <v>4772</v>
      </c>
      <c r="F4815" s="1">
        <v>44794</v>
      </c>
    </row>
    <row r="4816" spans="1:6" x14ac:dyDescent="0.25">
      <c r="A4816">
        <v>7100969</v>
      </c>
      <c r="B4816" t="s">
        <v>4887</v>
      </c>
      <c r="C4816" t="str">
        <f>"9783428041794"</f>
        <v>9783428041794</v>
      </c>
      <c r="D4816" t="str">
        <f>"9783428441792"</f>
        <v>9783428441792</v>
      </c>
      <c r="E4816" t="s">
        <v>4772</v>
      </c>
      <c r="F4816" s="1">
        <v>44794</v>
      </c>
    </row>
    <row r="4817" spans="1:6" x14ac:dyDescent="0.25">
      <c r="A4817">
        <v>7100970</v>
      </c>
      <c r="B4817" t="s">
        <v>4888</v>
      </c>
      <c r="C4817" t="str">
        <f>"9783428041817"</f>
        <v>9783428041817</v>
      </c>
      <c r="D4817" t="str">
        <f>"9783428441815"</f>
        <v>9783428441815</v>
      </c>
      <c r="E4817" t="s">
        <v>4772</v>
      </c>
      <c r="F4817" s="1">
        <v>44794</v>
      </c>
    </row>
    <row r="4818" spans="1:6" x14ac:dyDescent="0.25">
      <c r="A4818">
        <v>7100971</v>
      </c>
      <c r="B4818" t="s">
        <v>4889</v>
      </c>
      <c r="C4818" t="str">
        <f>"9783428041954"</f>
        <v>9783428041954</v>
      </c>
      <c r="D4818" t="str">
        <f>"9783428441952"</f>
        <v>9783428441952</v>
      </c>
      <c r="E4818" t="s">
        <v>4772</v>
      </c>
      <c r="F4818" s="1">
        <v>44794</v>
      </c>
    </row>
    <row r="4819" spans="1:6" x14ac:dyDescent="0.25">
      <c r="A4819">
        <v>7100973</v>
      </c>
      <c r="B4819" t="s">
        <v>4890</v>
      </c>
      <c r="C4819" t="str">
        <f>"9783428042142"</f>
        <v>9783428042142</v>
      </c>
      <c r="D4819" t="str">
        <f>"9783428442140"</f>
        <v>9783428442140</v>
      </c>
      <c r="E4819" t="s">
        <v>4772</v>
      </c>
      <c r="F4819" s="1">
        <v>44794</v>
      </c>
    </row>
    <row r="4820" spans="1:6" x14ac:dyDescent="0.25">
      <c r="A4820">
        <v>7100976</v>
      </c>
      <c r="B4820" t="s">
        <v>4891</v>
      </c>
      <c r="C4820" t="str">
        <f>"9783428042401"</f>
        <v>9783428042401</v>
      </c>
      <c r="D4820" t="str">
        <f>"9783428442409"</f>
        <v>9783428442409</v>
      </c>
      <c r="E4820" t="s">
        <v>4772</v>
      </c>
      <c r="F4820" s="1">
        <v>44794</v>
      </c>
    </row>
    <row r="4821" spans="1:6" x14ac:dyDescent="0.25">
      <c r="A4821">
        <v>7100977</v>
      </c>
      <c r="B4821" t="s">
        <v>4892</v>
      </c>
      <c r="C4821" t="str">
        <f>"9783428043057"</f>
        <v>9783428043057</v>
      </c>
      <c r="D4821" t="str">
        <f>"9783428443055"</f>
        <v>9783428443055</v>
      </c>
      <c r="E4821" t="s">
        <v>4772</v>
      </c>
      <c r="F4821" s="1">
        <v>44794</v>
      </c>
    </row>
    <row r="4822" spans="1:6" x14ac:dyDescent="0.25">
      <c r="A4822">
        <v>7100979</v>
      </c>
      <c r="B4822" t="s">
        <v>4893</v>
      </c>
      <c r="C4822" t="str">
        <f>"9783428044467"</f>
        <v>9783428044467</v>
      </c>
      <c r="D4822" t="str">
        <f>"9783428444465"</f>
        <v>9783428444465</v>
      </c>
      <c r="E4822" t="s">
        <v>4772</v>
      </c>
      <c r="F4822" s="1">
        <v>44794</v>
      </c>
    </row>
    <row r="4823" spans="1:6" x14ac:dyDescent="0.25">
      <c r="A4823">
        <v>7100982</v>
      </c>
      <c r="B4823" t="s">
        <v>4894</v>
      </c>
      <c r="C4823" t="str">
        <f>"9783428044931"</f>
        <v>9783428044931</v>
      </c>
      <c r="D4823" t="str">
        <f>"9783428444939"</f>
        <v>9783428444939</v>
      </c>
      <c r="E4823" t="s">
        <v>4772</v>
      </c>
      <c r="F4823" s="1">
        <v>43811</v>
      </c>
    </row>
    <row r="4824" spans="1:6" x14ac:dyDescent="0.25">
      <c r="A4824">
        <v>7100983</v>
      </c>
      <c r="B4824" t="s">
        <v>4895</v>
      </c>
      <c r="C4824" t="str">
        <f>"9783428044528"</f>
        <v>9783428044528</v>
      </c>
      <c r="D4824" t="str">
        <f>"9783428444526"</f>
        <v>9783428444526</v>
      </c>
      <c r="E4824" t="s">
        <v>4772</v>
      </c>
      <c r="F4824" s="1">
        <v>44794</v>
      </c>
    </row>
    <row r="4825" spans="1:6" x14ac:dyDescent="0.25">
      <c r="A4825">
        <v>7100984</v>
      </c>
      <c r="B4825" t="s">
        <v>4896</v>
      </c>
      <c r="C4825" t="str">
        <f>"9783428045082"</f>
        <v>9783428045082</v>
      </c>
      <c r="D4825" t="str">
        <f>"9783428445080"</f>
        <v>9783428445080</v>
      </c>
      <c r="E4825" t="s">
        <v>4772</v>
      </c>
      <c r="F4825" s="1">
        <v>43521</v>
      </c>
    </row>
    <row r="4826" spans="1:6" x14ac:dyDescent="0.25">
      <c r="A4826">
        <v>7100985</v>
      </c>
      <c r="B4826" t="s">
        <v>4897</v>
      </c>
      <c r="C4826" t="str">
        <f>"9783428045099"</f>
        <v>9783428045099</v>
      </c>
      <c r="D4826" t="str">
        <f>"9783428445097"</f>
        <v>9783428445097</v>
      </c>
      <c r="E4826" t="s">
        <v>4772</v>
      </c>
      <c r="F4826" s="1">
        <v>44794</v>
      </c>
    </row>
    <row r="4827" spans="1:6" x14ac:dyDescent="0.25">
      <c r="A4827">
        <v>7100986</v>
      </c>
      <c r="B4827" t="s">
        <v>4898</v>
      </c>
      <c r="C4827" t="str">
        <f>"9783428045402"</f>
        <v>9783428045402</v>
      </c>
      <c r="D4827" t="str">
        <f>"9783428445400"</f>
        <v>9783428445400</v>
      </c>
      <c r="E4827" t="s">
        <v>4772</v>
      </c>
      <c r="F4827" s="1">
        <v>44793</v>
      </c>
    </row>
    <row r="4828" spans="1:6" x14ac:dyDescent="0.25">
      <c r="A4828">
        <v>7100987</v>
      </c>
      <c r="B4828" t="s">
        <v>4899</v>
      </c>
      <c r="C4828" t="str">
        <f>"9783428045501"</f>
        <v>9783428045501</v>
      </c>
      <c r="D4828" t="str">
        <f>"9783428445509"</f>
        <v>9783428445509</v>
      </c>
      <c r="E4828" t="s">
        <v>4772</v>
      </c>
      <c r="F4828" s="1">
        <v>44793</v>
      </c>
    </row>
    <row r="4829" spans="1:6" x14ac:dyDescent="0.25">
      <c r="A4829">
        <v>7100988</v>
      </c>
      <c r="B4829" t="s">
        <v>4900</v>
      </c>
      <c r="C4829" t="str">
        <f>"9783428045822"</f>
        <v>9783428045822</v>
      </c>
      <c r="D4829" t="str">
        <f>"9783428445820"</f>
        <v>9783428445820</v>
      </c>
      <c r="E4829" t="s">
        <v>4772</v>
      </c>
      <c r="F4829" s="1">
        <v>44793</v>
      </c>
    </row>
    <row r="4830" spans="1:6" x14ac:dyDescent="0.25">
      <c r="A4830">
        <v>7100989</v>
      </c>
      <c r="B4830" t="s">
        <v>4901</v>
      </c>
      <c r="C4830" t="str">
        <f>"9783428045976"</f>
        <v>9783428045976</v>
      </c>
      <c r="D4830" t="str">
        <f>"9783428445974"</f>
        <v>9783428445974</v>
      </c>
      <c r="E4830" t="s">
        <v>4772</v>
      </c>
      <c r="F4830" s="1">
        <v>44793</v>
      </c>
    </row>
    <row r="4831" spans="1:6" x14ac:dyDescent="0.25">
      <c r="A4831">
        <v>7100990</v>
      </c>
      <c r="B4831" t="s">
        <v>4902</v>
      </c>
      <c r="C4831" t="str">
        <f>"9783428047161"</f>
        <v>9783428047161</v>
      </c>
      <c r="D4831" t="str">
        <f>"9783428447169"</f>
        <v>9783428447169</v>
      </c>
      <c r="E4831" t="s">
        <v>4772</v>
      </c>
      <c r="F4831" s="1">
        <v>44793</v>
      </c>
    </row>
    <row r="4832" spans="1:6" x14ac:dyDescent="0.25">
      <c r="A4832">
        <v>7100991</v>
      </c>
      <c r="B4832" t="s">
        <v>4903</v>
      </c>
      <c r="C4832" t="str">
        <f>"9783428047406"</f>
        <v>9783428047406</v>
      </c>
      <c r="D4832" t="str">
        <f>"9783428447404"</f>
        <v>9783428447404</v>
      </c>
      <c r="E4832" t="s">
        <v>4772</v>
      </c>
      <c r="F4832" s="1">
        <v>44793</v>
      </c>
    </row>
    <row r="4833" spans="1:6" x14ac:dyDescent="0.25">
      <c r="A4833">
        <v>7100992</v>
      </c>
      <c r="B4833" t="s">
        <v>4904</v>
      </c>
      <c r="C4833" t="str">
        <f>"9783428047581"</f>
        <v>9783428047581</v>
      </c>
      <c r="D4833" t="str">
        <f>"9783428447589"</f>
        <v>9783428447589</v>
      </c>
      <c r="E4833" t="s">
        <v>4772</v>
      </c>
      <c r="F4833" s="1">
        <v>43521</v>
      </c>
    </row>
    <row r="4834" spans="1:6" x14ac:dyDescent="0.25">
      <c r="A4834">
        <v>7100993</v>
      </c>
      <c r="B4834" t="s">
        <v>4905</v>
      </c>
      <c r="C4834" t="str">
        <f>"9783428047710"</f>
        <v>9783428047710</v>
      </c>
      <c r="D4834" t="str">
        <f>"9783428447718"</f>
        <v>9783428447718</v>
      </c>
      <c r="E4834" t="s">
        <v>4772</v>
      </c>
      <c r="F4834" s="1">
        <v>44793</v>
      </c>
    </row>
    <row r="4835" spans="1:6" x14ac:dyDescent="0.25">
      <c r="A4835">
        <v>7100994</v>
      </c>
      <c r="B4835" t="s">
        <v>4906</v>
      </c>
      <c r="C4835" t="str">
        <f>"9783428047932"</f>
        <v>9783428047932</v>
      </c>
      <c r="D4835" t="str">
        <f>"9783428447930"</f>
        <v>9783428447930</v>
      </c>
      <c r="E4835" t="s">
        <v>4772</v>
      </c>
      <c r="F4835" s="1">
        <v>43518</v>
      </c>
    </row>
    <row r="4836" spans="1:6" x14ac:dyDescent="0.25">
      <c r="A4836">
        <v>7100995</v>
      </c>
      <c r="B4836" t="s">
        <v>4907</v>
      </c>
      <c r="C4836" t="str">
        <f>"9783428048090"</f>
        <v>9783428048090</v>
      </c>
      <c r="D4836" t="str">
        <f>"9783428448098"</f>
        <v>9783428448098</v>
      </c>
      <c r="E4836" t="s">
        <v>4772</v>
      </c>
      <c r="F4836" s="1">
        <v>44793</v>
      </c>
    </row>
    <row r="4837" spans="1:6" x14ac:dyDescent="0.25">
      <c r="A4837">
        <v>7100996</v>
      </c>
      <c r="B4837" t="s">
        <v>4908</v>
      </c>
      <c r="C4837" t="str">
        <f>"9783428048106"</f>
        <v>9783428048106</v>
      </c>
      <c r="D4837" t="str">
        <f>"9783428448104"</f>
        <v>9783428448104</v>
      </c>
      <c r="E4837" t="s">
        <v>4772</v>
      </c>
      <c r="F4837" s="1">
        <v>44793</v>
      </c>
    </row>
    <row r="4838" spans="1:6" x14ac:dyDescent="0.25">
      <c r="A4838">
        <v>7100997</v>
      </c>
      <c r="B4838" t="s">
        <v>4909</v>
      </c>
      <c r="C4838" t="str">
        <f>"9783428048144"</f>
        <v>9783428048144</v>
      </c>
      <c r="D4838" t="str">
        <f>"9783428448142"</f>
        <v>9783428448142</v>
      </c>
      <c r="E4838" t="s">
        <v>4772</v>
      </c>
      <c r="F4838" s="1">
        <v>44792</v>
      </c>
    </row>
    <row r="4839" spans="1:6" x14ac:dyDescent="0.25">
      <c r="A4839">
        <v>7100998</v>
      </c>
      <c r="B4839" t="s">
        <v>4910</v>
      </c>
      <c r="C4839" t="str">
        <f>"9783428048472"</f>
        <v>9783428048472</v>
      </c>
      <c r="D4839" t="str">
        <f>"9783428448470"</f>
        <v>9783428448470</v>
      </c>
      <c r="E4839" t="s">
        <v>4772</v>
      </c>
      <c r="F4839" s="1">
        <v>43518</v>
      </c>
    </row>
    <row r="4840" spans="1:6" x14ac:dyDescent="0.25">
      <c r="A4840">
        <v>7100999</v>
      </c>
      <c r="B4840" t="s">
        <v>4911</v>
      </c>
      <c r="C4840" t="str">
        <f>"9783428048526"</f>
        <v>9783428048526</v>
      </c>
      <c r="D4840" t="str">
        <f>"9783428448524"</f>
        <v>9783428448524</v>
      </c>
      <c r="E4840" t="s">
        <v>4772</v>
      </c>
      <c r="F4840" s="1">
        <v>44792</v>
      </c>
    </row>
    <row r="4841" spans="1:6" x14ac:dyDescent="0.25">
      <c r="A4841">
        <v>7101000</v>
      </c>
      <c r="B4841" t="s">
        <v>4912</v>
      </c>
      <c r="C4841" t="str">
        <f>"9783428049349"</f>
        <v>9783428049349</v>
      </c>
      <c r="D4841" t="str">
        <f>"9783428449347"</f>
        <v>9783428449347</v>
      </c>
      <c r="E4841" t="s">
        <v>4772</v>
      </c>
      <c r="F4841" s="1">
        <v>44792</v>
      </c>
    </row>
    <row r="4842" spans="1:6" x14ac:dyDescent="0.25">
      <c r="A4842">
        <v>7101001</v>
      </c>
      <c r="B4842" t="s">
        <v>4913</v>
      </c>
      <c r="C4842" t="str">
        <f>"9783428049592"</f>
        <v>9783428049592</v>
      </c>
      <c r="D4842" t="str">
        <f>"9783428449590"</f>
        <v>9783428449590</v>
      </c>
      <c r="E4842" t="s">
        <v>4772</v>
      </c>
      <c r="F4842" s="1">
        <v>44792</v>
      </c>
    </row>
    <row r="4843" spans="1:6" x14ac:dyDescent="0.25">
      <c r="A4843">
        <v>7101002</v>
      </c>
      <c r="B4843" t="s">
        <v>4914</v>
      </c>
      <c r="C4843" t="str">
        <f>"9783428050086"</f>
        <v>9783428050086</v>
      </c>
      <c r="D4843" t="str">
        <f>"9783428450084"</f>
        <v>9783428450084</v>
      </c>
      <c r="E4843" t="s">
        <v>4772</v>
      </c>
      <c r="F4843" s="1">
        <v>44792</v>
      </c>
    </row>
    <row r="4844" spans="1:6" x14ac:dyDescent="0.25">
      <c r="A4844">
        <v>7101003</v>
      </c>
      <c r="B4844" t="s">
        <v>4915</v>
      </c>
      <c r="C4844" t="str">
        <f>"9783428050130"</f>
        <v>9783428050130</v>
      </c>
      <c r="D4844" t="str">
        <f>"9783428450138"</f>
        <v>9783428450138</v>
      </c>
      <c r="E4844" t="s">
        <v>4772</v>
      </c>
      <c r="F4844" s="1">
        <v>44792</v>
      </c>
    </row>
    <row r="4845" spans="1:6" x14ac:dyDescent="0.25">
      <c r="A4845">
        <v>7101004</v>
      </c>
      <c r="B4845" t="s">
        <v>4916</v>
      </c>
      <c r="C4845" t="str">
        <f>"9783428050291"</f>
        <v>9783428050291</v>
      </c>
      <c r="D4845" t="str">
        <f>"9783428450299"</f>
        <v>9783428450299</v>
      </c>
      <c r="E4845" t="s">
        <v>4772</v>
      </c>
      <c r="F4845" s="1">
        <v>44792</v>
      </c>
    </row>
    <row r="4846" spans="1:6" x14ac:dyDescent="0.25">
      <c r="A4846">
        <v>7101005</v>
      </c>
      <c r="B4846" t="s">
        <v>4917</v>
      </c>
      <c r="C4846" t="str">
        <f>"9783428051588"</f>
        <v>9783428051588</v>
      </c>
      <c r="D4846" t="str">
        <f>"9783428451586"</f>
        <v>9783428451586</v>
      </c>
      <c r="E4846" t="s">
        <v>4772</v>
      </c>
      <c r="F4846" s="1">
        <v>44792</v>
      </c>
    </row>
    <row r="4847" spans="1:6" x14ac:dyDescent="0.25">
      <c r="A4847">
        <v>7101006</v>
      </c>
      <c r="B4847" t="s">
        <v>4918</v>
      </c>
      <c r="C4847" t="str">
        <f>"9783428051625"</f>
        <v>9783428051625</v>
      </c>
      <c r="D4847" t="str">
        <f>"9783428451623"</f>
        <v>9783428451623</v>
      </c>
      <c r="E4847" t="s">
        <v>4772</v>
      </c>
      <c r="F4847" s="1">
        <v>44792</v>
      </c>
    </row>
    <row r="4848" spans="1:6" x14ac:dyDescent="0.25">
      <c r="A4848">
        <v>7101007</v>
      </c>
      <c r="B4848" t="s">
        <v>4919</v>
      </c>
      <c r="C4848" t="str">
        <f>"9783428051946"</f>
        <v>9783428051946</v>
      </c>
      <c r="D4848" t="str">
        <f>"9783428451944"</f>
        <v>9783428451944</v>
      </c>
      <c r="E4848" t="s">
        <v>4772</v>
      </c>
      <c r="F4848" s="1">
        <v>44792</v>
      </c>
    </row>
    <row r="4849" spans="1:6" x14ac:dyDescent="0.25">
      <c r="A4849">
        <v>7101008</v>
      </c>
      <c r="B4849" t="s">
        <v>4920</v>
      </c>
      <c r="C4849" t="str">
        <f>"9783428052240"</f>
        <v>9783428052240</v>
      </c>
      <c r="D4849" t="str">
        <f>"9783428452248"</f>
        <v>9783428452248</v>
      </c>
      <c r="E4849" t="s">
        <v>4772</v>
      </c>
      <c r="F4849" s="1">
        <v>44792</v>
      </c>
    </row>
    <row r="4850" spans="1:6" x14ac:dyDescent="0.25">
      <c r="A4850">
        <v>7101009</v>
      </c>
      <c r="B4850" t="s">
        <v>4921</v>
      </c>
      <c r="C4850" t="str">
        <f>"9783428052295"</f>
        <v>9783428052295</v>
      </c>
      <c r="D4850" t="str">
        <f>"9783428452293"</f>
        <v>9783428452293</v>
      </c>
      <c r="E4850" t="s">
        <v>4772</v>
      </c>
      <c r="F4850" s="1">
        <v>44792</v>
      </c>
    </row>
    <row r="4851" spans="1:6" x14ac:dyDescent="0.25">
      <c r="A4851">
        <v>7101010</v>
      </c>
      <c r="B4851" t="s">
        <v>4922</v>
      </c>
      <c r="C4851" t="str">
        <f>"9783428052561"</f>
        <v>9783428052561</v>
      </c>
      <c r="D4851" t="str">
        <f>"9783428452569"</f>
        <v>9783428452569</v>
      </c>
      <c r="E4851" t="s">
        <v>4772</v>
      </c>
      <c r="F4851" s="1">
        <v>44792</v>
      </c>
    </row>
    <row r="4852" spans="1:6" x14ac:dyDescent="0.25">
      <c r="A4852">
        <v>7101011</v>
      </c>
      <c r="B4852" t="s">
        <v>4923</v>
      </c>
      <c r="C4852" t="str">
        <f>"9783428052776"</f>
        <v>9783428052776</v>
      </c>
      <c r="D4852" t="str">
        <f>"9783428452774"</f>
        <v>9783428452774</v>
      </c>
      <c r="E4852" t="s">
        <v>4772</v>
      </c>
      <c r="F4852" s="1">
        <v>44813</v>
      </c>
    </row>
    <row r="4853" spans="1:6" x14ac:dyDescent="0.25">
      <c r="A4853">
        <v>7101012</v>
      </c>
      <c r="B4853" t="s">
        <v>4924</v>
      </c>
      <c r="C4853" t="str">
        <f>"9783428053230"</f>
        <v>9783428053230</v>
      </c>
      <c r="D4853" t="str">
        <f>"9783428453238"</f>
        <v>9783428453238</v>
      </c>
      <c r="E4853" t="s">
        <v>4772</v>
      </c>
      <c r="F4853" s="1">
        <v>44792</v>
      </c>
    </row>
    <row r="4854" spans="1:6" x14ac:dyDescent="0.25">
      <c r="A4854">
        <v>7101013</v>
      </c>
      <c r="B4854" t="s">
        <v>4925</v>
      </c>
      <c r="C4854" t="str">
        <f>"9783428053308"</f>
        <v>9783428053308</v>
      </c>
      <c r="D4854" t="str">
        <f>"9783428453306"</f>
        <v>9783428453306</v>
      </c>
      <c r="E4854" t="s">
        <v>4772</v>
      </c>
      <c r="F4854" s="1">
        <v>44792</v>
      </c>
    </row>
    <row r="4855" spans="1:6" x14ac:dyDescent="0.25">
      <c r="A4855">
        <v>7101014</v>
      </c>
      <c r="B4855" t="s">
        <v>4926</v>
      </c>
      <c r="C4855" t="str">
        <f>"9783428053933"</f>
        <v>9783428053933</v>
      </c>
      <c r="D4855" t="str">
        <f>"9783428453931"</f>
        <v>9783428453931</v>
      </c>
      <c r="E4855" t="s">
        <v>4772</v>
      </c>
      <c r="F4855" s="1">
        <v>44792</v>
      </c>
    </row>
    <row r="4856" spans="1:6" x14ac:dyDescent="0.25">
      <c r="A4856">
        <v>7101015</v>
      </c>
      <c r="B4856" t="s">
        <v>4927</v>
      </c>
      <c r="C4856" t="str">
        <f>"9783428054190"</f>
        <v>9783428054190</v>
      </c>
      <c r="D4856" t="str">
        <f>"9783428454198"</f>
        <v>9783428454198</v>
      </c>
      <c r="E4856" t="s">
        <v>4772</v>
      </c>
      <c r="F4856" s="1">
        <v>44792</v>
      </c>
    </row>
    <row r="4857" spans="1:6" x14ac:dyDescent="0.25">
      <c r="A4857">
        <v>7101016</v>
      </c>
      <c r="B4857" t="s">
        <v>4928</v>
      </c>
      <c r="C4857" t="str">
        <f>"9783428054732"</f>
        <v>9783428054732</v>
      </c>
      <c r="D4857" t="str">
        <f>"9783428454730"</f>
        <v>9783428454730</v>
      </c>
      <c r="E4857" t="s">
        <v>4772</v>
      </c>
      <c r="F4857" s="1">
        <v>44792</v>
      </c>
    </row>
    <row r="4858" spans="1:6" x14ac:dyDescent="0.25">
      <c r="A4858">
        <v>7101017</v>
      </c>
      <c r="B4858" t="s">
        <v>4929</v>
      </c>
      <c r="C4858" t="str">
        <f>"9783428054206"</f>
        <v>9783428054206</v>
      </c>
      <c r="D4858" t="str">
        <f>"9783428454204"</f>
        <v>9783428454204</v>
      </c>
      <c r="E4858" t="s">
        <v>4772</v>
      </c>
      <c r="F4858" s="1">
        <v>44792</v>
      </c>
    </row>
    <row r="4859" spans="1:6" x14ac:dyDescent="0.25">
      <c r="A4859">
        <v>7101018</v>
      </c>
      <c r="B4859" t="s">
        <v>4930</v>
      </c>
      <c r="C4859" t="str">
        <f>"9783428055302"</f>
        <v>9783428055302</v>
      </c>
      <c r="D4859" t="str">
        <f>"9783428455300"</f>
        <v>9783428455300</v>
      </c>
      <c r="E4859" t="s">
        <v>4772</v>
      </c>
      <c r="F4859" s="1">
        <v>44792</v>
      </c>
    </row>
    <row r="4860" spans="1:6" x14ac:dyDescent="0.25">
      <c r="A4860">
        <v>7101019</v>
      </c>
      <c r="B4860" t="s">
        <v>4931</v>
      </c>
      <c r="C4860" t="str">
        <f>"9783428056040"</f>
        <v>9783428056040</v>
      </c>
      <c r="D4860" t="str">
        <f>"9783428456048"</f>
        <v>9783428456048</v>
      </c>
      <c r="E4860" t="s">
        <v>4772</v>
      </c>
      <c r="F4860" s="1">
        <v>44792</v>
      </c>
    </row>
    <row r="4861" spans="1:6" x14ac:dyDescent="0.25">
      <c r="A4861">
        <v>7101020</v>
      </c>
      <c r="B4861" t="s">
        <v>4932</v>
      </c>
      <c r="C4861" t="str">
        <f>"9783428056224"</f>
        <v>9783428056224</v>
      </c>
      <c r="D4861" t="str">
        <f>"9783428456222"</f>
        <v>9783428456222</v>
      </c>
      <c r="E4861" t="s">
        <v>4772</v>
      </c>
      <c r="F4861" s="1">
        <v>44792</v>
      </c>
    </row>
    <row r="4862" spans="1:6" x14ac:dyDescent="0.25">
      <c r="A4862">
        <v>7101021</v>
      </c>
      <c r="B4862" t="s">
        <v>4933</v>
      </c>
      <c r="C4862" t="str">
        <f>"9783428056262"</f>
        <v>9783428056262</v>
      </c>
      <c r="D4862" t="str">
        <f>"9783428456260"</f>
        <v>9783428456260</v>
      </c>
      <c r="E4862" t="s">
        <v>4772</v>
      </c>
      <c r="F4862" s="1">
        <v>44792</v>
      </c>
    </row>
    <row r="4863" spans="1:6" x14ac:dyDescent="0.25">
      <c r="A4863">
        <v>7101022</v>
      </c>
      <c r="B4863" t="s">
        <v>4934</v>
      </c>
      <c r="C4863" t="str">
        <f>"9783428056484"</f>
        <v>9783428056484</v>
      </c>
      <c r="D4863" t="str">
        <f>"9783428456482"</f>
        <v>9783428456482</v>
      </c>
      <c r="E4863" t="s">
        <v>4772</v>
      </c>
      <c r="F4863" s="1">
        <v>44792</v>
      </c>
    </row>
    <row r="4864" spans="1:6" x14ac:dyDescent="0.25">
      <c r="A4864">
        <v>7101023</v>
      </c>
      <c r="B4864" t="s">
        <v>4935</v>
      </c>
      <c r="C4864" t="str">
        <f>"9783428056590"</f>
        <v>9783428056590</v>
      </c>
      <c r="D4864" t="str">
        <f>"9783428456598"</f>
        <v>9783428456598</v>
      </c>
      <c r="E4864" t="s">
        <v>4772</v>
      </c>
      <c r="F4864" s="1">
        <v>44792</v>
      </c>
    </row>
    <row r="4865" spans="1:6" x14ac:dyDescent="0.25">
      <c r="A4865">
        <v>7101024</v>
      </c>
      <c r="B4865" t="s">
        <v>4936</v>
      </c>
      <c r="C4865" t="str">
        <f>"9783428056811"</f>
        <v>9783428056811</v>
      </c>
      <c r="D4865" t="str">
        <f>"9783428456819"</f>
        <v>9783428456819</v>
      </c>
      <c r="E4865" t="s">
        <v>4772</v>
      </c>
      <c r="F4865" s="1">
        <v>44792</v>
      </c>
    </row>
    <row r="4866" spans="1:6" x14ac:dyDescent="0.25">
      <c r="A4866">
        <v>7101025</v>
      </c>
      <c r="B4866" t="s">
        <v>4937</v>
      </c>
      <c r="C4866" t="str">
        <f>"9783428057603"</f>
        <v>9783428057603</v>
      </c>
      <c r="D4866" t="str">
        <f>"9783428457601"</f>
        <v>9783428457601</v>
      </c>
      <c r="E4866" t="s">
        <v>4772</v>
      </c>
      <c r="F4866" s="1">
        <v>44792</v>
      </c>
    </row>
    <row r="4867" spans="1:6" x14ac:dyDescent="0.25">
      <c r="A4867">
        <v>7101026</v>
      </c>
      <c r="B4867" t="s">
        <v>4938</v>
      </c>
      <c r="C4867" t="str">
        <f>"9783428057726"</f>
        <v>9783428057726</v>
      </c>
      <c r="D4867" t="str">
        <f>"9783428457724"</f>
        <v>9783428457724</v>
      </c>
      <c r="E4867" t="s">
        <v>4772</v>
      </c>
      <c r="F4867" s="1">
        <v>43518</v>
      </c>
    </row>
    <row r="4868" spans="1:6" x14ac:dyDescent="0.25">
      <c r="A4868">
        <v>7101027</v>
      </c>
      <c r="B4868" t="s">
        <v>4939</v>
      </c>
      <c r="C4868" t="str">
        <f>"9783428058433"</f>
        <v>9783428058433</v>
      </c>
      <c r="D4868" t="str">
        <f>"9783428458431"</f>
        <v>9783428458431</v>
      </c>
      <c r="E4868" t="s">
        <v>4772</v>
      </c>
      <c r="F4868" s="1">
        <v>43518</v>
      </c>
    </row>
    <row r="4869" spans="1:6" x14ac:dyDescent="0.25">
      <c r="A4869">
        <v>7101028</v>
      </c>
      <c r="B4869" t="s">
        <v>4940</v>
      </c>
      <c r="C4869" t="str">
        <f>"9783428058402"</f>
        <v>9783428058402</v>
      </c>
      <c r="D4869" t="str">
        <f>"9783428458400"</f>
        <v>9783428458400</v>
      </c>
      <c r="E4869" t="s">
        <v>4772</v>
      </c>
      <c r="F4869" s="1">
        <v>44792</v>
      </c>
    </row>
    <row r="4870" spans="1:6" x14ac:dyDescent="0.25">
      <c r="A4870">
        <v>7101029</v>
      </c>
      <c r="B4870" t="s">
        <v>4941</v>
      </c>
      <c r="C4870" t="str">
        <f>"9783428059102"</f>
        <v>9783428059102</v>
      </c>
      <c r="D4870" t="str">
        <f>"9783428459100"</f>
        <v>9783428459100</v>
      </c>
      <c r="E4870" t="s">
        <v>4772</v>
      </c>
      <c r="F4870" s="1">
        <v>44792</v>
      </c>
    </row>
    <row r="4871" spans="1:6" x14ac:dyDescent="0.25">
      <c r="A4871">
        <v>7101030</v>
      </c>
      <c r="B4871" t="s">
        <v>4942</v>
      </c>
      <c r="C4871" t="str">
        <f>"9783428059225"</f>
        <v>9783428059225</v>
      </c>
      <c r="D4871" t="str">
        <f>"9783428459223"</f>
        <v>9783428459223</v>
      </c>
      <c r="E4871" t="s">
        <v>4772</v>
      </c>
      <c r="F4871" s="1">
        <v>44792</v>
      </c>
    </row>
    <row r="4872" spans="1:6" x14ac:dyDescent="0.25">
      <c r="A4872">
        <v>7101031</v>
      </c>
      <c r="B4872" t="s">
        <v>4943</v>
      </c>
      <c r="C4872" t="str">
        <f>"9783428059232"</f>
        <v>9783428059232</v>
      </c>
      <c r="D4872" t="str">
        <f>"9783428459230"</f>
        <v>9783428459230</v>
      </c>
      <c r="E4872" t="s">
        <v>4772</v>
      </c>
      <c r="F4872" s="1">
        <v>44792</v>
      </c>
    </row>
    <row r="4873" spans="1:6" x14ac:dyDescent="0.25">
      <c r="A4873">
        <v>7101032</v>
      </c>
      <c r="B4873" t="s">
        <v>4944</v>
      </c>
      <c r="C4873" t="str">
        <f>"9783428059249"</f>
        <v>9783428059249</v>
      </c>
      <c r="D4873" t="str">
        <f>"9783428459247"</f>
        <v>9783428459247</v>
      </c>
      <c r="E4873" t="s">
        <v>4772</v>
      </c>
      <c r="F4873" s="1">
        <v>44792</v>
      </c>
    </row>
    <row r="4874" spans="1:6" x14ac:dyDescent="0.25">
      <c r="A4874">
        <v>7101033</v>
      </c>
      <c r="B4874" t="s">
        <v>4945</v>
      </c>
      <c r="C4874" t="str">
        <f>"9783428059492"</f>
        <v>9783428059492</v>
      </c>
      <c r="D4874" t="str">
        <f>"9783428459490"</f>
        <v>9783428459490</v>
      </c>
      <c r="E4874" t="s">
        <v>4772</v>
      </c>
      <c r="F4874" s="1">
        <v>44792</v>
      </c>
    </row>
    <row r="4875" spans="1:6" x14ac:dyDescent="0.25">
      <c r="A4875">
        <v>7101034</v>
      </c>
      <c r="B4875" t="s">
        <v>4946</v>
      </c>
      <c r="C4875" t="str">
        <f>"9783428059324"</f>
        <v>9783428059324</v>
      </c>
      <c r="D4875" t="str">
        <f>"9783428459322"</f>
        <v>9783428459322</v>
      </c>
      <c r="E4875" t="s">
        <v>4772</v>
      </c>
      <c r="F4875" s="1">
        <v>44792</v>
      </c>
    </row>
    <row r="4876" spans="1:6" x14ac:dyDescent="0.25">
      <c r="A4876">
        <v>7101035</v>
      </c>
      <c r="B4876" t="s">
        <v>4947</v>
      </c>
      <c r="C4876" t="str">
        <f>"9783428059690"</f>
        <v>9783428059690</v>
      </c>
      <c r="D4876" t="str">
        <f>"9783428459698"</f>
        <v>9783428459698</v>
      </c>
      <c r="E4876" t="s">
        <v>4772</v>
      </c>
      <c r="F4876" s="1">
        <v>44792</v>
      </c>
    </row>
    <row r="4877" spans="1:6" x14ac:dyDescent="0.25">
      <c r="A4877">
        <v>7101036</v>
      </c>
      <c r="B4877" t="s">
        <v>4948</v>
      </c>
      <c r="C4877" t="str">
        <f>"9783428059720"</f>
        <v>9783428059720</v>
      </c>
      <c r="D4877" t="str">
        <f>"9783428459728"</f>
        <v>9783428459728</v>
      </c>
      <c r="E4877" t="s">
        <v>4772</v>
      </c>
      <c r="F4877" s="1">
        <v>44792</v>
      </c>
    </row>
    <row r="4878" spans="1:6" x14ac:dyDescent="0.25">
      <c r="A4878">
        <v>7101037</v>
      </c>
      <c r="B4878" t="s">
        <v>4949</v>
      </c>
      <c r="C4878" t="str">
        <f>"9783428059737"</f>
        <v>9783428059737</v>
      </c>
      <c r="D4878" t="str">
        <f>"9783428459735"</f>
        <v>9783428459735</v>
      </c>
      <c r="E4878" t="s">
        <v>4772</v>
      </c>
      <c r="F4878" s="1">
        <v>44792</v>
      </c>
    </row>
    <row r="4879" spans="1:6" x14ac:dyDescent="0.25">
      <c r="A4879">
        <v>7101038</v>
      </c>
      <c r="B4879" t="s">
        <v>4950</v>
      </c>
      <c r="C4879" t="str">
        <f>"9783428059904"</f>
        <v>9783428059904</v>
      </c>
      <c r="D4879" t="str">
        <f>"9783428459902"</f>
        <v>9783428459902</v>
      </c>
      <c r="E4879" t="s">
        <v>4772</v>
      </c>
      <c r="F4879" s="1">
        <v>43518</v>
      </c>
    </row>
    <row r="4880" spans="1:6" x14ac:dyDescent="0.25">
      <c r="A4880">
        <v>7101039</v>
      </c>
      <c r="B4880" t="s">
        <v>4951</v>
      </c>
      <c r="C4880" t="str">
        <f>"9783428060436"</f>
        <v>9783428060436</v>
      </c>
      <c r="D4880" t="str">
        <f>"9783428460434"</f>
        <v>9783428460434</v>
      </c>
      <c r="E4880" t="s">
        <v>4772</v>
      </c>
      <c r="F4880" s="1">
        <v>44792</v>
      </c>
    </row>
    <row r="4881" spans="1:6" x14ac:dyDescent="0.25">
      <c r="A4881">
        <v>7101040</v>
      </c>
      <c r="B4881" t="s">
        <v>4952</v>
      </c>
      <c r="C4881" t="str">
        <f>"9783428060474"</f>
        <v>9783428060474</v>
      </c>
      <c r="D4881" t="str">
        <f>"9783428460472"</f>
        <v>9783428460472</v>
      </c>
      <c r="E4881" t="s">
        <v>4772</v>
      </c>
      <c r="F4881" s="1">
        <v>44792</v>
      </c>
    </row>
    <row r="4882" spans="1:6" x14ac:dyDescent="0.25">
      <c r="A4882">
        <v>7101041</v>
      </c>
      <c r="B4882" t="s">
        <v>4953</v>
      </c>
      <c r="C4882" t="str">
        <f>"9783428060771"</f>
        <v>9783428060771</v>
      </c>
      <c r="D4882" t="str">
        <f>"9783428460779"</f>
        <v>9783428460779</v>
      </c>
      <c r="E4882" t="s">
        <v>4772</v>
      </c>
      <c r="F4882" s="1">
        <v>44792</v>
      </c>
    </row>
    <row r="4883" spans="1:6" x14ac:dyDescent="0.25">
      <c r="A4883">
        <v>7101042</v>
      </c>
      <c r="B4883" t="s">
        <v>4954</v>
      </c>
      <c r="C4883" t="str">
        <f>"9783428061006"</f>
        <v>9783428061006</v>
      </c>
      <c r="D4883" t="str">
        <f>"9783428461004"</f>
        <v>9783428461004</v>
      </c>
      <c r="E4883" t="s">
        <v>4772</v>
      </c>
      <c r="F4883" s="1">
        <v>44792</v>
      </c>
    </row>
    <row r="4884" spans="1:6" x14ac:dyDescent="0.25">
      <c r="A4884">
        <v>7101043</v>
      </c>
      <c r="B4884" t="s">
        <v>4955</v>
      </c>
      <c r="C4884" t="str">
        <f>"9783428060825"</f>
        <v>9783428060825</v>
      </c>
      <c r="D4884" t="str">
        <f>"9783428460823"</f>
        <v>9783428460823</v>
      </c>
      <c r="E4884" t="s">
        <v>4772</v>
      </c>
      <c r="F4884" s="1">
        <v>44792</v>
      </c>
    </row>
    <row r="4885" spans="1:6" x14ac:dyDescent="0.25">
      <c r="A4885">
        <v>7101044</v>
      </c>
      <c r="B4885" t="s">
        <v>4956</v>
      </c>
      <c r="C4885" t="str">
        <f>"9783428061235"</f>
        <v>9783428061235</v>
      </c>
      <c r="D4885" t="str">
        <f>"9783428461233"</f>
        <v>9783428461233</v>
      </c>
      <c r="E4885" t="s">
        <v>4772</v>
      </c>
      <c r="F4885" s="1">
        <v>44792</v>
      </c>
    </row>
    <row r="4886" spans="1:6" x14ac:dyDescent="0.25">
      <c r="A4886">
        <v>7101045</v>
      </c>
      <c r="B4886" t="s">
        <v>4957</v>
      </c>
      <c r="C4886" t="str">
        <f>"9783428061266"</f>
        <v>9783428061266</v>
      </c>
      <c r="D4886" t="str">
        <f>"9783428461264"</f>
        <v>9783428461264</v>
      </c>
      <c r="E4886" t="s">
        <v>4772</v>
      </c>
      <c r="F4886" s="1">
        <v>44792</v>
      </c>
    </row>
    <row r="4887" spans="1:6" x14ac:dyDescent="0.25">
      <c r="A4887">
        <v>7101046</v>
      </c>
      <c r="B4887" t="s">
        <v>4958</v>
      </c>
      <c r="C4887" t="str">
        <f>"9783428061648"</f>
        <v>9783428061648</v>
      </c>
      <c r="D4887" t="str">
        <f>"9783428461646"</f>
        <v>9783428461646</v>
      </c>
      <c r="E4887" t="s">
        <v>4772</v>
      </c>
      <c r="F4887" s="1">
        <v>44792</v>
      </c>
    </row>
    <row r="4888" spans="1:6" x14ac:dyDescent="0.25">
      <c r="A4888">
        <v>7101047</v>
      </c>
      <c r="B4888" t="s">
        <v>4959</v>
      </c>
      <c r="C4888" t="str">
        <f>"9783428061693"</f>
        <v>9783428061693</v>
      </c>
      <c r="D4888" t="str">
        <f>"9783428461691"</f>
        <v>9783428461691</v>
      </c>
      <c r="E4888" t="s">
        <v>4772</v>
      </c>
      <c r="F4888" s="1">
        <v>44792</v>
      </c>
    </row>
    <row r="4889" spans="1:6" x14ac:dyDescent="0.25">
      <c r="A4889">
        <v>7101048</v>
      </c>
      <c r="B4889" t="s">
        <v>4960</v>
      </c>
      <c r="C4889" t="str">
        <f>"9783428062478"</f>
        <v>9783428062478</v>
      </c>
      <c r="D4889" t="str">
        <f>"9783428462476"</f>
        <v>9783428462476</v>
      </c>
      <c r="E4889" t="s">
        <v>4772</v>
      </c>
      <c r="F4889" s="1">
        <v>44792</v>
      </c>
    </row>
    <row r="4890" spans="1:6" x14ac:dyDescent="0.25">
      <c r="A4890">
        <v>7101049</v>
      </c>
      <c r="B4890" t="s">
        <v>4961</v>
      </c>
      <c r="C4890" t="str">
        <f>"9783428062720"</f>
        <v>9783428062720</v>
      </c>
      <c r="D4890" t="str">
        <f>"9783428462728"</f>
        <v>9783428462728</v>
      </c>
      <c r="E4890" t="s">
        <v>4772</v>
      </c>
      <c r="F4890" s="1">
        <v>44792</v>
      </c>
    </row>
    <row r="4891" spans="1:6" x14ac:dyDescent="0.25">
      <c r="A4891">
        <v>7101050</v>
      </c>
      <c r="B4891" t="s">
        <v>4962</v>
      </c>
      <c r="C4891" t="str">
        <f>"9783428062836"</f>
        <v>9783428062836</v>
      </c>
      <c r="D4891" t="str">
        <f>"9783428462834"</f>
        <v>9783428462834</v>
      </c>
      <c r="E4891" t="s">
        <v>4772</v>
      </c>
      <c r="F4891" s="1">
        <v>44792</v>
      </c>
    </row>
    <row r="4892" spans="1:6" x14ac:dyDescent="0.25">
      <c r="A4892">
        <v>7101051</v>
      </c>
      <c r="B4892" t="s">
        <v>4963</v>
      </c>
      <c r="C4892" t="str">
        <f>"9783428064250"</f>
        <v>9783428064250</v>
      </c>
      <c r="D4892" t="str">
        <f>"9783428464258"</f>
        <v>9783428464258</v>
      </c>
      <c r="E4892" t="s">
        <v>4772</v>
      </c>
      <c r="F4892" s="1">
        <v>44792</v>
      </c>
    </row>
    <row r="4893" spans="1:6" x14ac:dyDescent="0.25">
      <c r="A4893">
        <v>7101052</v>
      </c>
      <c r="B4893" t="s">
        <v>4964</v>
      </c>
      <c r="C4893" t="str">
        <f>"9783428064274"</f>
        <v>9783428064274</v>
      </c>
      <c r="D4893" t="str">
        <f>"9783428464272"</f>
        <v>9783428464272</v>
      </c>
      <c r="E4893" t="s">
        <v>4772</v>
      </c>
      <c r="F4893" s="1">
        <v>44792</v>
      </c>
    </row>
    <row r="4894" spans="1:6" x14ac:dyDescent="0.25">
      <c r="A4894">
        <v>7101053</v>
      </c>
      <c r="B4894" t="s">
        <v>4965</v>
      </c>
      <c r="C4894" t="str">
        <f>"9783428064328"</f>
        <v>9783428064328</v>
      </c>
      <c r="D4894" t="str">
        <f>"9783428464326"</f>
        <v>9783428464326</v>
      </c>
      <c r="E4894" t="s">
        <v>4772</v>
      </c>
      <c r="F4894" s="1">
        <v>44792</v>
      </c>
    </row>
    <row r="4895" spans="1:6" x14ac:dyDescent="0.25">
      <c r="A4895">
        <v>7101054</v>
      </c>
      <c r="B4895" t="s">
        <v>4966</v>
      </c>
      <c r="C4895" t="str">
        <f>"9783428064335"</f>
        <v>9783428064335</v>
      </c>
      <c r="D4895" t="str">
        <f>"9783428464333"</f>
        <v>9783428464333</v>
      </c>
      <c r="E4895" t="s">
        <v>4772</v>
      </c>
      <c r="F4895" s="1">
        <v>44792</v>
      </c>
    </row>
    <row r="4896" spans="1:6" x14ac:dyDescent="0.25">
      <c r="A4896">
        <v>7101055</v>
      </c>
      <c r="B4896" t="s">
        <v>4967</v>
      </c>
      <c r="C4896" t="str">
        <f>"9783428064519"</f>
        <v>9783428064519</v>
      </c>
      <c r="D4896" t="str">
        <f>"9783428464517"</f>
        <v>9783428464517</v>
      </c>
      <c r="E4896" t="s">
        <v>4772</v>
      </c>
      <c r="F4896" s="1">
        <v>44792</v>
      </c>
    </row>
    <row r="4897" spans="1:6" x14ac:dyDescent="0.25">
      <c r="A4897">
        <v>7101056</v>
      </c>
      <c r="B4897" t="s">
        <v>4968</v>
      </c>
      <c r="C4897" t="str">
        <f>"9783428065356"</f>
        <v>9783428065356</v>
      </c>
      <c r="D4897" t="str">
        <f>"9783428465354"</f>
        <v>9783428465354</v>
      </c>
      <c r="E4897" t="s">
        <v>4772</v>
      </c>
      <c r="F4897" s="1">
        <v>44829</v>
      </c>
    </row>
    <row r="4898" spans="1:6" x14ac:dyDescent="0.25">
      <c r="A4898">
        <v>7101057</v>
      </c>
      <c r="B4898" t="s">
        <v>4969</v>
      </c>
      <c r="C4898" t="str">
        <f>"9783428065134"</f>
        <v>9783428065134</v>
      </c>
      <c r="D4898" t="str">
        <f>"9783428465132"</f>
        <v>9783428465132</v>
      </c>
      <c r="E4898" t="s">
        <v>4772</v>
      </c>
      <c r="F4898" s="1">
        <v>44791</v>
      </c>
    </row>
    <row r="4899" spans="1:6" x14ac:dyDescent="0.25">
      <c r="A4899">
        <v>7101058</v>
      </c>
      <c r="B4899" t="s">
        <v>4970</v>
      </c>
      <c r="C4899" t="str">
        <f>"9783428065455"</f>
        <v>9783428065455</v>
      </c>
      <c r="D4899" t="str">
        <f>"9783428465453"</f>
        <v>9783428465453</v>
      </c>
      <c r="E4899" t="s">
        <v>4772</v>
      </c>
      <c r="F4899" s="1">
        <v>44692</v>
      </c>
    </row>
    <row r="4900" spans="1:6" x14ac:dyDescent="0.25">
      <c r="A4900">
        <v>7101059</v>
      </c>
      <c r="B4900" t="s">
        <v>4971</v>
      </c>
      <c r="C4900" t="str">
        <f>"9783428065899"</f>
        <v>9783428065899</v>
      </c>
      <c r="D4900" t="str">
        <f>"9783428465897"</f>
        <v>9783428465897</v>
      </c>
      <c r="E4900" t="s">
        <v>4772</v>
      </c>
      <c r="F4900" s="1">
        <v>44792</v>
      </c>
    </row>
    <row r="4901" spans="1:6" x14ac:dyDescent="0.25">
      <c r="A4901">
        <v>7101060</v>
      </c>
      <c r="B4901" t="s">
        <v>4972</v>
      </c>
      <c r="C4901" t="str">
        <f>"9783428066346"</f>
        <v>9783428066346</v>
      </c>
      <c r="D4901" t="str">
        <f>"9783428466344"</f>
        <v>9783428466344</v>
      </c>
      <c r="E4901" t="s">
        <v>4772</v>
      </c>
      <c r="F4901" s="1">
        <v>44792</v>
      </c>
    </row>
    <row r="4902" spans="1:6" x14ac:dyDescent="0.25">
      <c r="A4902">
        <v>7101061</v>
      </c>
      <c r="B4902" t="s">
        <v>4973</v>
      </c>
      <c r="C4902" t="str">
        <f>"9783428066957"</f>
        <v>9783428066957</v>
      </c>
      <c r="D4902" t="str">
        <f>"9783428466955"</f>
        <v>9783428466955</v>
      </c>
      <c r="E4902" t="s">
        <v>4772</v>
      </c>
      <c r="F4902" s="1">
        <v>44792</v>
      </c>
    </row>
    <row r="4903" spans="1:6" x14ac:dyDescent="0.25">
      <c r="A4903">
        <v>7101062</v>
      </c>
      <c r="B4903" t="s">
        <v>4974</v>
      </c>
      <c r="C4903" t="str">
        <f>"9783428066483"</f>
        <v>9783428066483</v>
      </c>
      <c r="D4903" t="str">
        <f>"9783428466481"</f>
        <v>9783428466481</v>
      </c>
      <c r="E4903" t="s">
        <v>4772</v>
      </c>
      <c r="F4903" s="1">
        <v>44518</v>
      </c>
    </row>
    <row r="4904" spans="1:6" x14ac:dyDescent="0.25">
      <c r="A4904">
        <v>7101063</v>
      </c>
      <c r="B4904" t="s">
        <v>4975</v>
      </c>
      <c r="C4904" t="str">
        <f>"9783428066988"</f>
        <v>9783428066988</v>
      </c>
      <c r="D4904" t="str">
        <f>"9783428466986"</f>
        <v>9783428466986</v>
      </c>
      <c r="E4904" t="s">
        <v>4772</v>
      </c>
      <c r="F4904" s="1">
        <v>44792</v>
      </c>
    </row>
    <row r="4905" spans="1:6" x14ac:dyDescent="0.25">
      <c r="A4905">
        <v>7101064</v>
      </c>
      <c r="B4905" t="s">
        <v>4976</v>
      </c>
      <c r="C4905" t="str">
        <f>"9783428067008"</f>
        <v>9783428067008</v>
      </c>
      <c r="D4905" t="str">
        <f>"9783428467006"</f>
        <v>9783428467006</v>
      </c>
      <c r="E4905" t="s">
        <v>4772</v>
      </c>
      <c r="F4905" s="1">
        <v>44792</v>
      </c>
    </row>
    <row r="4906" spans="1:6" x14ac:dyDescent="0.25">
      <c r="A4906">
        <v>7101065</v>
      </c>
      <c r="B4906" t="s">
        <v>4977</v>
      </c>
      <c r="C4906" t="str">
        <f>"9783428067275"</f>
        <v>9783428067275</v>
      </c>
      <c r="D4906" t="str">
        <f>"9783428467273"</f>
        <v>9783428467273</v>
      </c>
      <c r="E4906" t="s">
        <v>4772</v>
      </c>
      <c r="F4906" s="1">
        <v>44792</v>
      </c>
    </row>
    <row r="4907" spans="1:6" x14ac:dyDescent="0.25">
      <c r="A4907">
        <v>7101066</v>
      </c>
      <c r="B4907" t="s">
        <v>4978</v>
      </c>
      <c r="C4907" t="str">
        <f>"9783428068616"</f>
        <v>9783428068616</v>
      </c>
      <c r="D4907" t="str">
        <f>"9783428468614"</f>
        <v>9783428468614</v>
      </c>
      <c r="E4907" t="s">
        <v>4772</v>
      </c>
      <c r="F4907" s="1">
        <v>43518</v>
      </c>
    </row>
    <row r="4908" spans="1:6" x14ac:dyDescent="0.25">
      <c r="A4908">
        <v>7101067</v>
      </c>
      <c r="B4908" t="s">
        <v>4979</v>
      </c>
      <c r="C4908" t="str">
        <f>"9783428069323"</f>
        <v>9783428069323</v>
      </c>
      <c r="D4908" t="str">
        <f>"9783428469321"</f>
        <v>9783428469321</v>
      </c>
      <c r="E4908" t="s">
        <v>4772</v>
      </c>
      <c r="F4908" s="1">
        <v>43518</v>
      </c>
    </row>
    <row r="4909" spans="1:6" x14ac:dyDescent="0.25">
      <c r="A4909">
        <v>7101068</v>
      </c>
      <c r="B4909" t="s">
        <v>4980</v>
      </c>
      <c r="C4909" t="str">
        <f>"9783428069408"</f>
        <v>9783428069408</v>
      </c>
      <c r="D4909" t="str">
        <f>"9783428469406"</f>
        <v>9783428469406</v>
      </c>
      <c r="E4909" t="s">
        <v>4772</v>
      </c>
      <c r="F4909" s="1">
        <v>43518</v>
      </c>
    </row>
    <row r="4910" spans="1:6" x14ac:dyDescent="0.25">
      <c r="A4910">
        <v>7101069</v>
      </c>
      <c r="B4910" t="s">
        <v>4981</v>
      </c>
      <c r="C4910" t="str">
        <f>"9783428069781"</f>
        <v>9783428069781</v>
      </c>
      <c r="D4910" t="str">
        <f>"9783428469789"</f>
        <v>9783428469789</v>
      </c>
      <c r="E4910" t="s">
        <v>4772</v>
      </c>
      <c r="F4910" s="1">
        <v>44518</v>
      </c>
    </row>
    <row r="4911" spans="1:6" x14ac:dyDescent="0.25">
      <c r="A4911">
        <v>7101070</v>
      </c>
      <c r="B4911" t="s">
        <v>4982</v>
      </c>
      <c r="C4911" t="str">
        <f>"9783428071258"</f>
        <v>9783428071258</v>
      </c>
      <c r="D4911" t="str">
        <f>"9783428471256"</f>
        <v>9783428471256</v>
      </c>
      <c r="E4911" t="s">
        <v>4772</v>
      </c>
      <c r="F4911" s="1">
        <v>43518</v>
      </c>
    </row>
    <row r="4912" spans="1:6" x14ac:dyDescent="0.25">
      <c r="A4912">
        <v>7101071</v>
      </c>
      <c r="B4912" t="s">
        <v>4983</v>
      </c>
      <c r="C4912" t="str">
        <f>"9783428073412"</f>
        <v>9783428073412</v>
      </c>
      <c r="D4912" t="str">
        <f>"9783428473410"</f>
        <v>9783428473410</v>
      </c>
      <c r="E4912" t="s">
        <v>4772</v>
      </c>
      <c r="F4912" s="1">
        <v>43518</v>
      </c>
    </row>
    <row r="4913" spans="1:6" x14ac:dyDescent="0.25">
      <c r="A4913">
        <v>7101072</v>
      </c>
      <c r="B4913" t="s">
        <v>4984</v>
      </c>
      <c r="C4913" t="str">
        <f>"9783428073450"</f>
        <v>9783428073450</v>
      </c>
      <c r="D4913" t="str">
        <f>"9783428473458"</f>
        <v>9783428473458</v>
      </c>
      <c r="E4913" t="s">
        <v>4772</v>
      </c>
      <c r="F4913" s="1">
        <v>44518</v>
      </c>
    </row>
    <row r="4914" spans="1:6" x14ac:dyDescent="0.25">
      <c r="A4914">
        <v>7101073</v>
      </c>
      <c r="B4914" t="s">
        <v>4985</v>
      </c>
      <c r="C4914" t="str">
        <f>"9783428076628"</f>
        <v>9783428076628</v>
      </c>
      <c r="D4914" t="str">
        <f>"9783428476626"</f>
        <v>9783428476626</v>
      </c>
      <c r="E4914" t="s">
        <v>4772</v>
      </c>
      <c r="F4914" s="1">
        <v>43518</v>
      </c>
    </row>
    <row r="4915" spans="1:6" x14ac:dyDescent="0.25">
      <c r="A4915">
        <v>7101074</v>
      </c>
      <c r="B4915" t="s">
        <v>4986</v>
      </c>
      <c r="C4915" t="str">
        <f>"9783428078202"</f>
        <v>9783428078202</v>
      </c>
      <c r="D4915" t="str">
        <f>"9783428478200"</f>
        <v>9783428478200</v>
      </c>
      <c r="E4915" t="s">
        <v>4772</v>
      </c>
      <c r="F4915" s="1">
        <v>43518</v>
      </c>
    </row>
    <row r="4916" spans="1:6" x14ac:dyDescent="0.25">
      <c r="A4916">
        <v>7101075</v>
      </c>
      <c r="B4916" t="s">
        <v>4987</v>
      </c>
      <c r="C4916" t="str">
        <f>"9783428079551"</f>
        <v>9783428079551</v>
      </c>
      <c r="D4916" t="str">
        <f>"9783428479559"</f>
        <v>9783428479559</v>
      </c>
      <c r="E4916" t="s">
        <v>4772</v>
      </c>
      <c r="F4916" s="1">
        <v>43517</v>
      </c>
    </row>
    <row r="4917" spans="1:6" x14ac:dyDescent="0.25">
      <c r="A4917">
        <v>7101076</v>
      </c>
      <c r="B4917" t="s">
        <v>4988</v>
      </c>
      <c r="C4917" t="str">
        <f>"9783428082315"</f>
        <v>9783428082315</v>
      </c>
      <c r="D4917" t="str">
        <f>"9783428482313"</f>
        <v>9783428482313</v>
      </c>
      <c r="E4917" t="s">
        <v>4772</v>
      </c>
      <c r="F4917" s="1">
        <v>43517</v>
      </c>
    </row>
    <row r="4918" spans="1:6" x14ac:dyDescent="0.25">
      <c r="A4918">
        <v>7101077</v>
      </c>
      <c r="B4918" t="s">
        <v>4989</v>
      </c>
      <c r="C4918" t="str">
        <f>"9783428082919"</f>
        <v>9783428082919</v>
      </c>
      <c r="D4918" t="str">
        <f>"9783428482917"</f>
        <v>9783428482917</v>
      </c>
      <c r="E4918" t="s">
        <v>4772</v>
      </c>
      <c r="F4918" s="1">
        <v>43517</v>
      </c>
    </row>
    <row r="4919" spans="1:6" x14ac:dyDescent="0.25">
      <c r="A4919">
        <v>7101078</v>
      </c>
      <c r="B4919" t="s">
        <v>4990</v>
      </c>
      <c r="C4919" t="str">
        <f>"9783428084159"</f>
        <v>9783428084159</v>
      </c>
      <c r="D4919" t="str">
        <f>"9783428484157"</f>
        <v>9783428484157</v>
      </c>
      <c r="E4919" t="s">
        <v>4772</v>
      </c>
      <c r="F4919" s="1">
        <v>43257</v>
      </c>
    </row>
    <row r="4920" spans="1:6" x14ac:dyDescent="0.25">
      <c r="A4920">
        <v>7101079</v>
      </c>
      <c r="B4920" t="s">
        <v>4991</v>
      </c>
      <c r="C4920" t="str">
        <f>"9783428086054"</f>
        <v>9783428086054</v>
      </c>
      <c r="D4920" t="str">
        <f>"9783428486052"</f>
        <v>9783428486052</v>
      </c>
      <c r="E4920" t="s">
        <v>4772</v>
      </c>
      <c r="F4920" s="1">
        <v>43256</v>
      </c>
    </row>
    <row r="4921" spans="1:6" x14ac:dyDescent="0.25">
      <c r="A4921">
        <v>7101080</v>
      </c>
      <c r="B4921" t="s">
        <v>4992</v>
      </c>
      <c r="C4921" t="str">
        <f>"9783428092505"</f>
        <v>9783428092505</v>
      </c>
      <c r="D4921" t="str">
        <f>"9783428492503"</f>
        <v>9783428492503</v>
      </c>
      <c r="E4921" t="s">
        <v>4772</v>
      </c>
      <c r="F4921" s="1">
        <v>43250</v>
      </c>
    </row>
    <row r="4922" spans="1:6" x14ac:dyDescent="0.25">
      <c r="A4922">
        <v>7101081</v>
      </c>
      <c r="B4922" t="s">
        <v>4993</v>
      </c>
      <c r="C4922" t="str">
        <f>"9783428102600"</f>
        <v>9783428102600</v>
      </c>
      <c r="D4922" t="str">
        <f>"9783428502608"</f>
        <v>9783428502608</v>
      </c>
      <c r="E4922" t="s">
        <v>4772</v>
      </c>
      <c r="F4922" s="1">
        <v>43171</v>
      </c>
    </row>
    <row r="4923" spans="1:6" x14ac:dyDescent="0.25">
      <c r="A4923">
        <v>7101167</v>
      </c>
      <c r="B4923" t="s">
        <v>4994</v>
      </c>
      <c r="C4923" t="str">
        <f>"9783428154234"</f>
        <v>9783428154234</v>
      </c>
      <c r="D4923" t="str">
        <f>"9783428554232"</f>
        <v>9783428554232</v>
      </c>
      <c r="E4923" t="s">
        <v>4772</v>
      </c>
      <c r="F4923" s="1">
        <v>43677</v>
      </c>
    </row>
    <row r="4924" spans="1:6" x14ac:dyDescent="0.25">
      <c r="A4924">
        <v>7101175</v>
      </c>
      <c r="B4924" t="s">
        <v>4995</v>
      </c>
      <c r="C4924" t="str">
        <f>"9783428150441"</f>
        <v>9783428150441</v>
      </c>
      <c r="D4924" t="str">
        <f>"9783428550449"</f>
        <v>9783428550449</v>
      </c>
      <c r="E4924" t="s">
        <v>4772</v>
      </c>
      <c r="F4924" s="1">
        <v>42978</v>
      </c>
    </row>
    <row r="4925" spans="1:6" x14ac:dyDescent="0.25">
      <c r="A4925">
        <v>7101176</v>
      </c>
      <c r="B4925" t="s">
        <v>4996</v>
      </c>
      <c r="C4925" t="str">
        <f>"9783428153329"</f>
        <v>9783428153329</v>
      </c>
      <c r="D4925" t="str">
        <f>"9783428553327"</f>
        <v>9783428553327</v>
      </c>
      <c r="E4925" t="s">
        <v>4772</v>
      </c>
      <c r="F4925" s="1">
        <v>43412</v>
      </c>
    </row>
    <row r="4926" spans="1:6" x14ac:dyDescent="0.25">
      <c r="A4926">
        <v>7101177</v>
      </c>
      <c r="B4926" t="s">
        <v>4997</v>
      </c>
      <c r="C4926" t="str">
        <f>"9783428154449"</f>
        <v>9783428154449</v>
      </c>
      <c r="D4926" t="str">
        <f>"9783428554447"</f>
        <v>9783428554447</v>
      </c>
      <c r="E4926" t="s">
        <v>4772</v>
      </c>
      <c r="F4926" s="1">
        <v>43535</v>
      </c>
    </row>
    <row r="4927" spans="1:6" x14ac:dyDescent="0.25">
      <c r="A4927">
        <v>7101178</v>
      </c>
      <c r="B4927" t="s">
        <v>4998</v>
      </c>
      <c r="C4927" t="str">
        <f>"9783428155415"</f>
        <v>9783428155415</v>
      </c>
      <c r="D4927" t="str">
        <f>"9783428555413"</f>
        <v>9783428555413</v>
      </c>
      <c r="E4927" t="s">
        <v>4772</v>
      </c>
      <c r="F4927" s="1">
        <v>43874</v>
      </c>
    </row>
    <row r="4928" spans="1:6" x14ac:dyDescent="0.25">
      <c r="A4928">
        <v>7101179</v>
      </c>
      <c r="B4928" t="s">
        <v>4999</v>
      </c>
      <c r="C4928" t="str">
        <f>"9783428157167"</f>
        <v>9783428157167</v>
      </c>
      <c r="D4928" t="str">
        <f>"9783428557165"</f>
        <v>9783428557165</v>
      </c>
      <c r="E4928" t="s">
        <v>4772</v>
      </c>
      <c r="F4928" s="1">
        <v>44253</v>
      </c>
    </row>
    <row r="4929" spans="1:6" x14ac:dyDescent="0.25">
      <c r="A4929">
        <v>7101180</v>
      </c>
      <c r="B4929" t="s">
        <v>5000</v>
      </c>
      <c r="C4929" t="str">
        <f>"9783428157310"</f>
        <v>9783428157310</v>
      </c>
      <c r="D4929" t="str">
        <f>"9783428557318"</f>
        <v>9783428557318</v>
      </c>
      <c r="E4929" t="s">
        <v>4772</v>
      </c>
      <c r="F4929" s="1">
        <v>44163</v>
      </c>
    </row>
    <row r="4930" spans="1:6" x14ac:dyDescent="0.25">
      <c r="A4930">
        <v>7101181</v>
      </c>
      <c r="B4930" t="s">
        <v>5001</v>
      </c>
      <c r="C4930" t="str">
        <f>"9783428159314"</f>
        <v>9783428159314</v>
      </c>
      <c r="D4930" t="str">
        <f>"9783428559312"</f>
        <v>9783428559312</v>
      </c>
      <c r="E4930" t="s">
        <v>4772</v>
      </c>
      <c r="F4930" s="1">
        <v>43950</v>
      </c>
    </row>
    <row r="4931" spans="1:6" x14ac:dyDescent="0.25">
      <c r="A4931">
        <v>7101182</v>
      </c>
      <c r="B4931" t="s">
        <v>5002</v>
      </c>
      <c r="C4931" t="str">
        <f>"9783428161263"</f>
        <v>9783428161263</v>
      </c>
      <c r="D4931" t="str">
        <f>"9783428561261"</f>
        <v>9783428561261</v>
      </c>
      <c r="E4931" t="s">
        <v>4772</v>
      </c>
      <c r="F4931" s="1">
        <v>44751</v>
      </c>
    </row>
    <row r="4932" spans="1:6" x14ac:dyDescent="0.25">
      <c r="A4932">
        <v>7101183</v>
      </c>
      <c r="B4932" t="s">
        <v>5003</v>
      </c>
      <c r="C4932" t="str">
        <f>"9783428161652"</f>
        <v>9783428161652</v>
      </c>
      <c r="D4932" t="str">
        <f>"9783428561650"</f>
        <v>9783428561650</v>
      </c>
      <c r="E4932" t="s">
        <v>4772</v>
      </c>
      <c r="F4932" s="1">
        <v>44769</v>
      </c>
    </row>
    <row r="4933" spans="1:6" x14ac:dyDescent="0.25">
      <c r="A4933">
        <v>7101184</v>
      </c>
      <c r="B4933" t="s">
        <v>5004</v>
      </c>
      <c r="C4933" t="str">
        <f>"9783428165698"</f>
        <v>9783428165698</v>
      </c>
      <c r="D4933" t="str">
        <f>"9783428565696"</f>
        <v>9783428565696</v>
      </c>
      <c r="E4933" t="s">
        <v>4772</v>
      </c>
      <c r="F4933" s="1">
        <v>44758</v>
      </c>
    </row>
    <row r="4934" spans="1:6" x14ac:dyDescent="0.25">
      <c r="A4934">
        <v>7101185</v>
      </c>
      <c r="B4934" t="s">
        <v>5005</v>
      </c>
      <c r="C4934" t="str">
        <f>"9783428168453"</f>
        <v>9783428168453</v>
      </c>
      <c r="D4934" t="str">
        <f>"9783428568451"</f>
        <v>9783428568451</v>
      </c>
      <c r="E4934" t="s">
        <v>4772</v>
      </c>
      <c r="F4934" s="1">
        <v>44776</v>
      </c>
    </row>
    <row r="4935" spans="1:6" x14ac:dyDescent="0.25">
      <c r="A4935">
        <v>7101186</v>
      </c>
      <c r="B4935" t="s">
        <v>5006</v>
      </c>
      <c r="C4935" t="str">
        <f>"9783428168460"</f>
        <v>9783428168460</v>
      </c>
      <c r="D4935" t="str">
        <f>"9783428568468"</f>
        <v>9783428568468</v>
      </c>
      <c r="E4935" t="s">
        <v>4772</v>
      </c>
      <c r="F4935" s="1">
        <v>44776</v>
      </c>
    </row>
    <row r="4936" spans="1:6" x14ac:dyDescent="0.25">
      <c r="A4936">
        <v>7101187</v>
      </c>
      <c r="B4936" t="s">
        <v>5007</v>
      </c>
      <c r="C4936" t="str">
        <f>"9783428172146"</f>
        <v>9783428172146</v>
      </c>
      <c r="D4936" t="str">
        <f>"9783428572144"</f>
        <v>9783428572144</v>
      </c>
      <c r="E4936" t="s">
        <v>4772</v>
      </c>
      <c r="F4936" s="1">
        <v>44769</v>
      </c>
    </row>
    <row r="4937" spans="1:6" x14ac:dyDescent="0.25">
      <c r="A4937">
        <v>7101188</v>
      </c>
      <c r="B4937" t="s">
        <v>5008</v>
      </c>
      <c r="C4937" t="str">
        <f>"9783428172481"</f>
        <v>9783428172481</v>
      </c>
      <c r="D4937" t="str">
        <f>"9783428572489"</f>
        <v>9783428572489</v>
      </c>
      <c r="E4937" t="s">
        <v>4772</v>
      </c>
      <c r="F4937" s="1">
        <v>44675</v>
      </c>
    </row>
    <row r="4938" spans="1:6" x14ac:dyDescent="0.25">
      <c r="A4938">
        <v>7101189</v>
      </c>
      <c r="B4938" t="s">
        <v>5009</v>
      </c>
      <c r="C4938" t="str">
        <f>"9783428172498"</f>
        <v>9783428172498</v>
      </c>
      <c r="D4938" t="str">
        <f>"9783428572496"</f>
        <v>9783428572496</v>
      </c>
      <c r="E4938" t="s">
        <v>4772</v>
      </c>
      <c r="F4938" s="1">
        <v>44675</v>
      </c>
    </row>
    <row r="4939" spans="1:6" x14ac:dyDescent="0.25">
      <c r="A4939">
        <v>7101190</v>
      </c>
      <c r="B4939" t="s">
        <v>5010</v>
      </c>
      <c r="C4939" t="str">
        <f>"9783428172504"</f>
        <v>9783428172504</v>
      </c>
      <c r="D4939" t="str">
        <f>"9783428572502"</f>
        <v>9783428572502</v>
      </c>
      <c r="E4939" t="s">
        <v>4772</v>
      </c>
      <c r="F4939" s="1">
        <v>44675</v>
      </c>
    </row>
    <row r="4940" spans="1:6" x14ac:dyDescent="0.25">
      <c r="A4940">
        <v>7101191</v>
      </c>
      <c r="B4940" t="s">
        <v>5011</v>
      </c>
      <c r="C4940" t="str">
        <f>"9783428172511"</f>
        <v>9783428172511</v>
      </c>
      <c r="D4940" t="str">
        <f>"9783428572519"</f>
        <v>9783428572519</v>
      </c>
      <c r="E4940" t="s">
        <v>4772</v>
      </c>
      <c r="F4940" s="1">
        <v>44675</v>
      </c>
    </row>
    <row r="4941" spans="1:6" x14ac:dyDescent="0.25">
      <c r="A4941">
        <v>7101192</v>
      </c>
      <c r="B4941" t="s">
        <v>5012</v>
      </c>
      <c r="C4941" t="str">
        <f>"9783428172528"</f>
        <v>9783428172528</v>
      </c>
      <c r="D4941" t="str">
        <f>"9783428572526"</f>
        <v>9783428572526</v>
      </c>
      <c r="E4941" t="s">
        <v>4772</v>
      </c>
      <c r="F4941" s="1">
        <v>44675</v>
      </c>
    </row>
    <row r="4942" spans="1:6" x14ac:dyDescent="0.25">
      <c r="A4942">
        <v>7101193</v>
      </c>
      <c r="B4942" t="s">
        <v>5013</v>
      </c>
      <c r="C4942" t="str">
        <f>"9783428172535"</f>
        <v>9783428172535</v>
      </c>
      <c r="D4942" t="str">
        <f>"9783428572533"</f>
        <v>9783428572533</v>
      </c>
      <c r="E4942" t="s">
        <v>4772</v>
      </c>
      <c r="F4942" s="1">
        <v>44675</v>
      </c>
    </row>
    <row r="4943" spans="1:6" x14ac:dyDescent="0.25">
      <c r="A4943">
        <v>7101194</v>
      </c>
      <c r="B4943" t="s">
        <v>5014</v>
      </c>
      <c r="C4943" t="str">
        <f>"9783428172542"</f>
        <v>9783428172542</v>
      </c>
      <c r="D4943" t="str">
        <f>"9783428572540"</f>
        <v>9783428572540</v>
      </c>
      <c r="E4943" t="s">
        <v>4772</v>
      </c>
      <c r="F4943" s="1">
        <v>44675</v>
      </c>
    </row>
    <row r="4944" spans="1:6" x14ac:dyDescent="0.25">
      <c r="A4944">
        <v>7101195</v>
      </c>
      <c r="B4944" t="s">
        <v>5015</v>
      </c>
      <c r="C4944" t="str">
        <f>"9783428172559"</f>
        <v>9783428172559</v>
      </c>
      <c r="D4944" t="str">
        <f>"9783428572557"</f>
        <v>9783428572557</v>
      </c>
      <c r="E4944" t="s">
        <v>4772</v>
      </c>
      <c r="F4944" s="1">
        <v>44675</v>
      </c>
    </row>
    <row r="4945" spans="1:6" x14ac:dyDescent="0.25">
      <c r="A4945">
        <v>7101196</v>
      </c>
      <c r="B4945" t="s">
        <v>5016</v>
      </c>
      <c r="C4945" t="str">
        <f>"9783428172566"</f>
        <v>9783428172566</v>
      </c>
      <c r="D4945" t="str">
        <f>"9783428572564"</f>
        <v>9783428572564</v>
      </c>
      <c r="E4945" t="s">
        <v>4772</v>
      </c>
      <c r="F4945" s="1">
        <v>44675</v>
      </c>
    </row>
    <row r="4946" spans="1:6" x14ac:dyDescent="0.25">
      <c r="A4946">
        <v>7101197</v>
      </c>
      <c r="B4946" t="s">
        <v>5017</v>
      </c>
      <c r="C4946" t="str">
        <f>"9783428172573"</f>
        <v>9783428172573</v>
      </c>
      <c r="D4946" t="str">
        <f>"9783428572571"</f>
        <v>9783428572571</v>
      </c>
      <c r="E4946" t="s">
        <v>4772</v>
      </c>
      <c r="F4946" s="1">
        <v>44675</v>
      </c>
    </row>
    <row r="4947" spans="1:6" x14ac:dyDescent="0.25">
      <c r="A4947">
        <v>7101198</v>
      </c>
      <c r="B4947" t="s">
        <v>5018</v>
      </c>
      <c r="C4947" t="str">
        <f>"9783428172580"</f>
        <v>9783428172580</v>
      </c>
      <c r="D4947" t="str">
        <f>"9783428572588"</f>
        <v>9783428572588</v>
      </c>
      <c r="E4947" t="s">
        <v>4772</v>
      </c>
      <c r="F4947" s="1">
        <v>44681</v>
      </c>
    </row>
    <row r="4948" spans="1:6" x14ac:dyDescent="0.25">
      <c r="A4948">
        <v>7101199</v>
      </c>
      <c r="B4948" t="s">
        <v>5019</v>
      </c>
      <c r="C4948" t="str">
        <f>"9783428172597"</f>
        <v>9783428172597</v>
      </c>
      <c r="D4948" t="str">
        <f>"9783428572595"</f>
        <v>9783428572595</v>
      </c>
      <c r="E4948" t="s">
        <v>4772</v>
      </c>
      <c r="F4948" s="1">
        <v>44681</v>
      </c>
    </row>
    <row r="4949" spans="1:6" x14ac:dyDescent="0.25">
      <c r="A4949">
        <v>7101200</v>
      </c>
      <c r="B4949" t="s">
        <v>5020</v>
      </c>
      <c r="C4949" t="str">
        <f>"9783428172603"</f>
        <v>9783428172603</v>
      </c>
      <c r="D4949" t="str">
        <f>"9783428572601"</f>
        <v>9783428572601</v>
      </c>
      <c r="E4949" t="s">
        <v>4772</v>
      </c>
      <c r="F4949" s="1">
        <v>44681</v>
      </c>
    </row>
    <row r="4950" spans="1:6" x14ac:dyDescent="0.25">
      <c r="A4950">
        <v>7101201</v>
      </c>
      <c r="B4950" t="s">
        <v>5021</v>
      </c>
      <c r="C4950" t="str">
        <f>"9783428172610"</f>
        <v>9783428172610</v>
      </c>
      <c r="D4950" t="str">
        <f>"9783428572618"</f>
        <v>9783428572618</v>
      </c>
      <c r="E4950" t="s">
        <v>4772</v>
      </c>
      <c r="F4950" s="1">
        <v>44681</v>
      </c>
    </row>
    <row r="4951" spans="1:6" x14ac:dyDescent="0.25">
      <c r="A4951">
        <v>7101202</v>
      </c>
      <c r="B4951" t="s">
        <v>5022</v>
      </c>
      <c r="C4951" t="str">
        <f>"9783428172627"</f>
        <v>9783428172627</v>
      </c>
      <c r="D4951" t="str">
        <f>"9783428572625"</f>
        <v>9783428572625</v>
      </c>
      <c r="E4951" t="s">
        <v>4772</v>
      </c>
      <c r="F4951" s="1">
        <v>44681</v>
      </c>
    </row>
    <row r="4952" spans="1:6" x14ac:dyDescent="0.25">
      <c r="A4952">
        <v>7101203</v>
      </c>
      <c r="B4952" t="s">
        <v>5023</v>
      </c>
      <c r="C4952" t="str">
        <f>"9783428172634"</f>
        <v>9783428172634</v>
      </c>
      <c r="D4952" t="str">
        <f>"9783428572632"</f>
        <v>9783428572632</v>
      </c>
      <c r="E4952" t="s">
        <v>4772</v>
      </c>
      <c r="F4952" s="1">
        <v>44681</v>
      </c>
    </row>
    <row r="4953" spans="1:6" x14ac:dyDescent="0.25">
      <c r="A4953">
        <v>7101204</v>
      </c>
      <c r="B4953" t="s">
        <v>5024</v>
      </c>
      <c r="C4953" t="str">
        <f>"9783428172658"</f>
        <v>9783428172658</v>
      </c>
      <c r="D4953" t="str">
        <f>"9783428572656"</f>
        <v>9783428572656</v>
      </c>
      <c r="E4953" t="s">
        <v>4772</v>
      </c>
      <c r="F4953" s="1">
        <v>44681</v>
      </c>
    </row>
    <row r="4954" spans="1:6" x14ac:dyDescent="0.25">
      <c r="A4954">
        <v>7101205</v>
      </c>
      <c r="B4954" t="s">
        <v>5025</v>
      </c>
      <c r="C4954" t="str">
        <f>"9783428172641"</f>
        <v>9783428172641</v>
      </c>
      <c r="D4954" t="str">
        <f>"9783428572649"</f>
        <v>9783428572649</v>
      </c>
      <c r="E4954" t="s">
        <v>4772</v>
      </c>
      <c r="F4954" s="1">
        <v>44681</v>
      </c>
    </row>
    <row r="4955" spans="1:6" x14ac:dyDescent="0.25">
      <c r="A4955">
        <v>7101206</v>
      </c>
      <c r="B4955" t="s">
        <v>5026</v>
      </c>
      <c r="C4955" t="str">
        <f>"9783428172665"</f>
        <v>9783428172665</v>
      </c>
      <c r="D4955" t="str">
        <f>"9783428572663"</f>
        <v>9783428572663</v>
      </c>
      <c r="E4955" t="s">
        <v>4772</v>
      </c>
      <c r="F4955" s="1">
        <v>44681</v>
      </c>
    </row>
    <row r="4956" spans="1:6" x14ac:dyDescent="0.25">
      <c r="A4956">
        <v>7101207</v>
      </c>
      <c r="B4956" t="s">
        <v>5027</v>
      </c>
      <c r="C4956" t="str">
        <f>"9783428172672"</f>
        <v>9783428172672</v>
      </c>
      <c r="D4956" t="str">
        <f>"9783428572670"</f>
        <v>9783428572670</v>
      </c>
      <c r="E4956" t="s">
        <v>4772</v>
      </c>
      <c r="F4956" s="1">
        <v>44681</v>
      </c>
    </row>
    <row r="4957" spans="1:6" x14ac:dyDescent="0.25">
      <c r="A4957">
        <v>7101208</v>
      </c>
      <c r="B4957" t="s">
        <v>5028</v>
      </c>
    </row>
    <row r="4958" spans="1:6" x14ac:dyDescent="0.25">
      <c r="A4958">
        <v>7101209</v>
      </c>
      <c r="B4958" t="s">
        <v>5029</v>
      </c>
      <c r="C4958" t="str">
        <f>"9783428172696"</f>
        <v>9783428172696</v>
      </c>
      <c r="D4958" t="str">
        <f>"9783428572694"</f>
        <v>9783428572694</v>
      </c>
      <c r="E4958" t="s">
        <v>4772</v>
      </c>
      <c r="F4958" s="1">
        <v>44681</v>
      </c>
    </row>
    <row r="4959" spans="1:6" x14ac:dyDescent="0.25">
      <c r="A4959">
        <v>7101210</v>
      </c>
      <c r="B4959" t="s">
        <v>5030</v>
      </c>
      <c r="C4959" t="str">
        <f>"9783428172702"</f>
        <v>9783428172702</v>
      </c>
      <c r="D4959" t="str">
        <f>"9783428572700"</f>
        <v>9783428572700</v>
      </c>
      <c r="E4959" t="s">
        <v>4772</v>
      </c>
      <c r="F4959" s="1">
        <v>44681</v>
      </c>
    </row>
    <row r="4960" spans="1:6" x14ac:dyDescent="0.25">
      <c r="A4960">
        <v>7101211</v>
      </c>
      <c r="B4960" t="s">
        <v>5031</v>
      </c>
      <c r="C4960" t="str">
        <f>"9783428172719"</f>
        <v>9783428172719</v>
      </c>
      <c r="D4960" t="str">
        <f>"9783428572717"</f>
        <v>9783428572717</v>
      </c>
      <c r="E4960" t="s">
        <v>4772</v>
      </c>
      <c r="F4960" s="1">
        <v>44681</v>
      </c>
    </row>
    <row r="4961" spans="1:6" x14ac:dyDescent="0.25">
      <c r="A4961">
        <v>7101212</v>
      </c>
      <c r="B4961" t="s">
        <v>5032</v>
      </c>
      <c r="C4961" t="str">
        <f>"9783428172726"</f>
        <v>9783428172726</v>
      </c>
      <c r="D4961" t="str">
        <f>"9783428572724"</f>
        <v>9783428572724</v>
      </c>
      <c r="E4961" t="s">
        <v>4772</v>
      </c>
      <c r="F4961" s="1">
        <v>44681</v>
      </c>
    </row>
    <row r="4962" spans="1:6" x14ac:dyDescent="0.25">
      <c r="A4962">
        <v>7101213</v>
      </c>
      <c r="B4962" t="s">
        <v>5033</v>
      </c>
      <c r="C4962" t="str">
        <f>"9783428172733"</f>
        <v>9783428172733</v>
      </c>
      <c r="D4962" t="str">
        <f>"9783428572731"</f>
        <v>9783428572731</v>
      </c>
      <c r="E4962" t="s">
        <v>4772</v>
      </c>
      <c r="F4962" s="1">
        <v>44681</v>
      </c>
    </row>
    <row r="4963" spans="1:6" x14ac:dyDescent="0.25">
      <c r="A4963">
        <v>7101214</v>
      </c>
      <c r="B4963" t="s">
        <v>5034</v>
      </c>
      <c r="C4963" t="str">
        <f>"9783428172740"</f>
        <v>9783428172740</v>
      </c>
      <c r="D4963" t="str">
        <f>"9783428572748"</f>
        <v>9783428572748</v>
      </c>
      <c r="E4963" t="s">
        <v>4772</v>
      </c>
      <c r="F4963" s="1">
        <v>44681</v>
      </c>
    </row>
    <row r="4964" spans="1:6" x14ac:dyDescent="0.25">
      <c r="A4964">
        <v>7101215</v>
      </c>
      <c r="B4964" t="s">
        <v>5035</v>
      </c>
      <c r="C4964" t="str">
        <f>"9783428172757"</f>
        <v>9783428172757</v>
      </c>
      <c r="D4964" t="str">
        <f>"9783428572755"</f>
        <v>9783428572755</v>
      </c>
      <c r="E4964" t="s">
        <v>4772</v>
      </c>
      <c r="F4964" s="1">
        <v>44681</v>
      </c>
    </row>
    <row r="4965" spans="1:6" x14ac:dyDescent="0.25">
      <c r="A4965">
        <v>7101216</v>
      </c>
      <c r="B4965" t="s">
        <v>5036</v>
      </c>
      <c r="C4965" t="str">
        <f>"9783428172764"</f>
        <v>9783428172764</v>
      </c>
      <c r="D4965" t="str">
        <f>"9783428572762"</f>
        <v>9783428572762</v>
      </c>
      <c r="E4965" t="s">
        <v>4772</v>
      </c>
      <c r="F4965" s="1">
        <v>44681</v>
      </c>
    </row>
    <row r="4966" spans="1:6" x14ac:dyDescent="0.25">
      <c r="A4966">
        <v>7101217</v>
      </c>
      <c r="B4966" t="s">
        <v>5037</v>
      </c>
      <c r="C4966" t="str">
        <f>"9783428172771"</f>
        <v>9783428172771</v>
      </c>
      <c r="D4966" t="str">
        <f>"9783428572779"</f>
        <v>9783428572779</v>
      </c>
      <c r="E4966" t="s">
        <v>4772</v>
      </c>
      <c r="F4966" s="1">
        <v>44681</v>
      </c>
    </row>
    <row r="4967" spans="1:6" x14ac:dyDescent="0.25">
      <c r="A4967">
        <v>7101218</v>
      </c>
      <c r="B4967" t="s">
        <v>5038</v>
      </c>
      <c r="C4967" t="str">
        <f>"9783428172788"</f>
        <v>9783428172788</v>
      </c>
      <c r="D4967" t="str">
        <f>"9783428572786"</f>
        <v>9783428572786</v>
      </c>
      <c r="E4967" t="s">
        <v>4772</v>
      </c>
      <c r="F4967" s="1">
        <v>44681</v>
      </c>
    </row>
    <row r="4968" spans="1:6" x14ac:dyDescent="0.25">
      <c r="A4968">
        <v>7101219</v>
      </c>
      <c r="B4968" t="s">
        <v>5039</v>
      </c>
      <c r="C4968" t="str">
        <f>"9783428172795"</f>
        <v>9783428172795</v>
      </c>
      <c r="D4968" t="str">
        <f>"9783428572793"</f>
        <v>9783428572793</v>
      </c>
      <c r="E4968" t="s">
        <v>4772</v>
      </c>
      <c r="F4968" s="1">
        <v>44681</v>
      </c>
    </row>
    <row r="4969" spans="1:6" x14ac:dyDescent="0.25">
      <c r="A4969">
        <v>7101220</v>
      </c>
      <c r="B4969" t="s">
        <v>5040</v>
      </c>
      <c r="C4969" t="str">
        <f>"9783428172801"</f>
        <v>9783428172801</v>
      </c>
      <c r="D4969" t="str">
        <f>"9783428572809"</f>
        <v>9783428572809</v>
      </c>
      <c r="E4969" t="s">
        <v>4772</v>
      </c>
      <c r="F4969" s="1">
        <v>44681</v>
      </c>
    </row>
    <row r="4970" spans="1:6" x14ac:dyDescent="0.25">
      <c r="A4970">
        <v>7101221</v>
      </c>
      <c r="B4970" t="s">
        <v>5041</v>
      </c>
      <c r="C4970" t="str">
        <f>"9783428172818"</f>
        <v>9783428172818</v>
      </c>
      <c r="D4970" t="str">
        <f>"9783428572816"</f>
        <v>9783428572816</v>
      </c>
      <c r="E4970" t="s">
        <v>4772</v>
      </c>
      <c r="F4970" s="1">
        <v>44681</v>
      </c>
    </row>
    <row r="4971" spans="1:6" x14ac:dyDescent="0.25">
      <c r="A4971">
        <v>7101222</v>
      </c>
      <c r="B4971" t="s">
        <v>5042</v>
      </c>
      <c r="C4971" t="str">
        <f>"9783428172825"</f>
        <v>9783428172825</v>
      </c>
      <c r="D4971" t="str">
        <f>"9783428572823"</f>
        <v>9783428572823</v>
      </c>
      <c r="E4971" t="s">
        <v>4772</v>
      </c>
      <c r="F4971" s="1">
        <v>44681</v>
      </c>
    </row>
    <row r="4972" spans="1:6" x14ac:dyDescent="0.25">
      <c r="A4972">
        <v>7101223</v>
      </c>
      <c r="B4972" t="s">
        <v>5043</v>
      </c>
      <c r="C4972" t="str">
        <f>"9783428172832"</f>
        <v>9783428172832</v>
      </c>
      <c r="D4972" t="str">
        <f>"9783428572830"</f>
        <v>9783428572830</v>
      </c>
      <c r="E4972" t="s">
        <v>4772</v>
      </c>
      <c r="F4972" s="1">
        <v>44681</v>
      </c>
    </row>
    <row r="4973" spans="1:6" x14ac:dyDescent="0.25">
      <c r="A4973">
        <v>7101224</v>
      </c>
      <c r="B4973" t="s">
        <v>5044</v>
      </c>
      <c r="C4973" t="str">
        <f>"9783428172863"</f>
        <v>9783428172863</v>
      </c>
      <c r="D4973" t="str">
        <f>"9783428572861"</f>
        <v>9783428572861</v>
      </c>
      <c r="E4973" t="s">
        <v>4772</v>
      </c>
      <c r="F4973" s="1">
        <v>44681</v>
      </c>
    </row>
    <row r="4974" spans="1:6" x14ac:dyDescent="0.25">
      <c r="A4974">
        <v>7101225</v>
      </c>
      <c r="B4974" t="s">
        <v>5045</v>
      </c>
      <c r="C4974" t="str">
        <f>"9783428172870"</f>
        <v>9783428172870</v>
      </c>
      <c r="D4974" t="str">
        <f>"9783428572878"</f>
        <v>9783428572878</v>
      </c>
      <c r="E4974" t="s">
        <v>4772</v>
      </c>
      <c r="F4974" s="1">
        <v>44681</v>
      </c>
    </row>
    <row r="4975" spans="1:6" x14ac:dyDescent="0.25">
      <c r="A4975">
        <v>7101226</v>
      </c>
      <c r="B4975" t="s">
        <v>5046</v>
      </c>
      <c r="C4975" t="str">
        <f>"9783428172887"</f>
        <v>9783428172887</v>
      </c>
      <c r="D4975" t="str">
        <f>"9783428572885"</f>
        <v>9783428572885</v>
      </c>
      <c r="E4975" t="s">
        <v>4772</v>
      </c>
      <c r="F4975" s="1">
        <v>44681</v>
      </c>
    </row>
    <row r="4976" spans="1:6" x14ac:dyDescent="0.25">
      <c r="A4976">
        <v>7101227</v>
      </c>
      <c r="B4976" t="s">
        <v>5047</v>
      </c>
      <c r="C4976" t="str">
        <f>"9783428172894"</f>
        <v>9783428172894</v>
      </c>
      <c r="D4976" t="str">
        <f>"9783428572892"</f>
        <v>9783428572892</v>
      </c>
      <c r="E4976" t="s">
        <v>4772</v>
      </c>
      <c r="F4976" s="1">
        <v>44681</v>
      </c>
    </row>
    <row r="4977" spans="1:6" x14ac:dyDescent="0.25">
      <c r="A4977">
        <v>7101228</v>
      </c>
      <c r="B4977" t="s">
        <v>5048</v>
      </c>
      <c r="C4977" t="str">
        <f>"9783428172900"</f>
        <v>9783428172900</v>
      </c>
      <c r="D4977" t="str">
        <f>"9783428572908"</f>
        <v>9783428572908</v>
      </c>
      <c r="E4977" t="s">
        <v>4772</v>
      </c>
      <c r="F4977" s="1">
        <v>44681</v>
      </c>
    </row>
    <row r="4978" spans="1:6" x14ac:dyDescent="0.25">
      <c r="A4978">
        <v>7101229</v>
      </c>
      <c r="B4978" t="s">
        <v>5049</v>
      </c>
      <c r="C4978" t="str">
        <f>"9783428172917"</f>
        <v>9783428172917</v>
      </c>
      <c r="D4978" t="str">
        <f>"9783428572915"</f>
        <v>9783428572915</v>
      </c>
      <c r="E4978" t="s">
        <v>4772</v>
      </c>
      <c r="F4978" s="1">
        <v>44681</v>
      </c>
    </row>
    <row r="4979" spans="1:6" x14ac:dyDescent="0.25">
      <c r="A4979">
        <v>7101230</v>
      </c>
      <c r="B4979" t="s">
        <v>5050</v>
      </c>
      <c r="C4979" t="str">
        <f>"9783428172924"</f>
        <v>9783428172924</v>
      </c>
      <c r="D4979" t="str">
        <f>"9783428572922"</f>
        <v>9783428572922</v>
      </c>
      <c r="E4979" t="s">
        <v>4772</v>
      </c>
      <c r="F4979" s="1">
        <v>44681</v>
      </c>
    </row>
    <row r="4980" spans="1:6" x14ac:dyDescent="0.25">
      <c r="A4980">
        <v>7101231</v>
      </c>
      <c r="B4980" t="s">
        <v>5051</v>
      </c>
      <c r="C4980" t="str">
        <f>"9783428172931"</f>
        <v>9783428172931</v>
      </c>
      <c r="D4980" t="str">
        <f>"9783428572939"</f>
        <v>9783428572939</v>
      </c>
      <c r="E4980" t="s">
        <v>4772</v>
      </c>
      <c r="F4980" s="1">
        <v>44681</v>
      </c>
    </row>
    <row r="4981" spans="1:6" x14ac:dyDescent="0.25">
      <c r="A4981">
        <v>7101232</v>
      </c>
      <c r="B4981" t="s">
        <v>5052</v>
      </c>
      <c r="C4981" t="str">
        <f>"9783428172948"</f>
        <v>9783428172948</v>
      </c>
      <c r="D4981" t="str">
        <f>"9783428572946"</f>
        <v>9783428572946</v>
      </c>
      <c r="E4981" t="s">
        <v>4772</v>
      </c>
      <c r="F4981" s="1">
        <v>44681</v>
      </c>
    </row>
    <row r="4982" spans="1:6" x14ac:dyDescent="0.25">
      <c r="A4982">
        <v>7101233</v>
      </c>
      <c r="B4982" t="s">
        <v>5053</v>
      </c>
      <c r="C4982" t="str">
        <f>"9783428172955"</f>
        <v>9783428172955</v>
      </c>
      <c r="D4982" t="str">
        <f>"9783428572953"</f>
        <v>9783428572953</v>
      </c>
      <c r="E4982" t="s">
        <v>4772</v>
      </c>
      <c r="F4982" s="1">
        <v>44681</v>
      </c>
    </row>
    <row r="4983" spans="1:6" x14ac:dyDescent="0.25">
      <c r="A4983">
        <v>7101234</v>
      </c>
      <c r="B4983" t="s">
        <v>5054</v>
      </c>
      <c r="C4983" t="str">
        <f>"9783428172979"</f>
        <v>9783428172979</v>
      </c>
      <c r="D4983" t="str">
        <f>"9783428572977"</f>
        <v>9783428572977</v>
      </c>
      <c r="E4983" t="s">
        <v>4772</v>
      </c>
      <c r="F4983" s="1">
        <v>44681</v>
      </c>
    </row>
    <row r="4984" spans="1:6" x14ac:dyDescent="0.25">
      <c r="A4984">
        <v>7101235</v>
      </c>
      <c r="B4984" t="s">
        <v>5055</v>
      </c>
      <c r="C4984" t="str">
        <f>"9783428172962"</f>
        <v>9783428172962</v>
      </c>
      <c r="D4984" t="str">
        <f>"9783428572960"</f>
        <v>9783428572960</v>
      </c>
      <c r="E4984" t="s">
        <v>4772</v>
      </c>
      <c r="F4984" s="1">
        <v>44681</v>
      </c>
    </row>
    <row r="4985" spans="1:6" x14ac:dyDescent="0.25">
      <c r="A4985">
        <v>7101236</v>
      </c>
      <c r="B4985" t="s">
        <v>5056</v>
      </c>
      <c r="C4985" t="str">
        <f>"9783428172986"</f>
        <v>9783428172986</v>
      </c>
      <c r="D4985" t="str">
        <f>"9783428572984"</f>
        <v>9783428572984</v>
      </c>
      <c r="E4985" t="s">
        <v>4772</v>
      </c>
      <c r="F4985" s="1">
        <v>44681</v>
      </c>
    </row>
    <row r="4986" spans="1:6" x14ac:dyDescent="0.25">
      <c r="A4986">
        <v>7101237</v>
      </c>
      <c r="B4986" t="s">
        <v>5057</v>
      </c>
      <c r="C4986" t="str">
        <f>"9783428172993"</f>
        <v>9783428172993</v>
      </c>
      <c r="D4986" t="str">
        <f>"9783428572991"</f>
        <v>9783428572991</v>
      </c>
      <c r="E4986" t="s">
        <v>4772</v>
      </c>
      <c r="F4986" s="1">
        <v>44681</v>
      </c>
    </row>
    <row r="4987" spans="1:6" x14ac:dyDescent="0.25">
      <c r="A4987">
        <v>7101238</v>
      </c>
      <c r="B4987" t="s">
        <v>5058</v>
      </c>
      <c r="C4987" t="str">
        <f>"9783428173006"</f>
        <v>9783428173006</v>
      </c>
      <c r="D4987" t="str">
        <f>"9783428573004"</f>
        <v>9783428573004</v>
      </c>
      <c r="E4987" t="s">
        <v>4772</v>
      </c>
      <c r="F4987" s="1">
        <v>44681</v>
      </c>
    </row>
    <row r="4988" spans="1:6" x14ac:dyDescent="0.25">
      <c r="A4988">
        <v>7101239</v>
      </c>
      <c r="B4988" t="s">
        <v>5059</v>
      </c>
      <c r="C4988" t="str">
        <f>"9783428173013"</f>
        <v>9783428173013</v>
      </c>
      <c r="D4988" t="str">
        <f>"9783428573011"</f>
        <v>9783428573011</v>
      </c>
      <c r="E4988" t="s">
        <v>4772</v>
      </c>
      <c r="F4988" s="1">
        <v>44681</v>
      </c>
    </row>
    <row r="4989" spans="1:6" x14ac:dyDescent="0.25">
      <c r="A4989">
        <v>7101240</v>
      </c>
      <c r="B4989" t="s">
        <v>5060</v>
      </c>
      <c r="C4989" t="str">
        <f>"9783428173020"</f>
        <v>9783428173020</v>
      </c>
      <c r="D4989" t="str">
        <f>"9783428573028"</f>
        <v>9783428573028</v>
      </c>
      <c r="E4989" t="s">
        <v>4772</v>
      </c>
      <c r="F4989" s="1">
        <v>44681</v>
      </c>
    </row>
    <row r="4990" spans="1:6" x14ac:dyDescent="0.25">
      <c r="A4990">
        <v>7101241</v>
      </c>
      <c r="B4990" t="s">
        <v>5061</v>
      </c>
      <c r="C4990" t="str">
        <f>"9783428173037"</f>
        <v>9783428173037</v>
      </c>
      <c r="D4990" t="str">
        <f>"9783428573035"</f>
        <v>9783428573035</v>
      </c>
      <c r="E4990" t="s">
        <v>4772</v>
      </c>
      <c r="F4990" s="1">
        <v>44681</v>
      </c>
    </row>
    <row r="4991" spans="1:6" x14ac:dyDescent="0.25">
      <c r="A4991">
        <v>7101242</v>
      </c>
      <c r="B4991" t="s">
        <v>5062</v>
      </c>
      <c r="C4991" t="str">
        <f>"9783428173044"</f>
        <v>9783428173044</v>
      </c>
      <c r="D4991" t="str">
        <f>"9783428573042"</f>
        <v>9783428573042</v>
      </c>
      <c r="E4991" t="s">
        <v>4772</v>
      </c>
      <c r="F4991" s="1">
        <v>44681</v>
      </c>
    </row>
    <row r="4992" spans="1:6" x14ac:dyDescent="0.25">
      <c r="A4992">
        <v>7101243</v>
      </c>
      <c r="B4992" t="s">
        <v>5063</v>
      </c>
      <c r="C4992" t="str">
        <f>"9783428173051"</f>
        <v>9783428173051</v>
      </c>
      <c r="D4992" t="str">
        <f>"9783428573059"</f>
        <v>9783428573059</v>
      </c>
      <c r="E4992" t="s">
        <v>4772</v>
      </c>
      <c r="F4992" s="1">
        <v>44802</v>
      </c>
    </row>
    <row r="4993" spans="1:6" x14ac:dyDescent="0.25">
      <c r="A4993">
        <v>7101244</v>
      </c>
      <c r="B4993" t="s">
        <v>5064</v>
      </c>
      <c r="C4993" t="str">
        <f>"9783428173068"</f>
        <v>9783428173068</v>
      </c>
      <c r="D4993" t="str">
        <f>"9783428573066"</f>
        <v>9783428573066</v>
      </c>
      <c r="E4993" t="s">
        <v>4772</v>
      </c>
      <c r="F4993" s="1">
        <v>44681</v>
      </c>
    </row>
    <row r="4994" spans="1:6" x14ac:dyDescent="0.25">
      <c r="A4994">
        <v>7101245</v>
      </c>
      <c r="B4994" t="s">
        <v>5065</v>
      </c>
      <c r="C4994" t="str">
        <f>"9783428173075"</f>
        <v>9783428173075</v>
      </c>
      <c r="D4994" t="str">
        <f>"9783428573073"</f>
        <v>9783428573073</v>
      </c>
      <c r="E4994" t="s">
        <v>4772</v>
      </c>
      <c r="F4994" s="1">
        <v>44681</v>
      </c>
    </row>
    <row r="4995" spans="1:6" x14ac:dyDescent="0.25">
      <c r="A4995">
        <v>7101246</v>
      </c>
      <c r="B4995" t="s">
        <v>5066</v>
      </c>
      <c r="C4995" t="str">
        <f>"9783428173082"</f>
        <v>9783428173082</v>
      </c>
      <c r="D4995" t="str">
        <f>"9783428573080"</f>
        <v>9783428573080</v>
      </c>
      <c r="E4995" t="s">
        <v>4772</v>
      </c>
      <c r="F4995" s="1">
        <v>44681</v>
      </c>
    </row>
    <row r="4996" spans="1:6" x14ac:dyDescent="0.25">
      <c r="A4996">
        <v>7101247</v>
      </c>
      <c r="B4996" t="s">
        <v>5067</v>
      </c>
      <c r="C4996" t="str">
        <f>"9783428173099"</f>
        <v>9783428173099</v>
      </c>
      <c r="D4996" t="str">
        <f>"9783428573097"</f>
        <v>9783428573097</v>
      </c>
      <c r="E4996" t="s">
        <v>4772</v>
      </c>
      <c r="F4996" s="1">
        <v>44681</v>
      </c>
    </row>
    <row r="4997" spans="1:6" x14ac:dyDescent="0.25">
      <c r="A4997">
        <v>7101248</v>
      </c>
      <c r="B4997" t="s">
        <v>5068</v>
      </c>
      <c r="C4997" t="str">
        <f>"9783428173105"</f>
        <v>9783428173105</v>
      </c>
      <c r="D4997" t="str">
        <f>"9783428573103"</f>
        <v>9783428573103</v>
      </c>
      <c r="E4997" t="s">
        <v>4772</v>
      </c>
      <c r="F4997" s="1">
        <v>44681</v>
      </c>
    </row>
    <row r="4998" spans="1:6" x14ac:dyDescent="0.25">
      <c r="A4998">
        <v>7101249</v>
      </c>
      <c r="B4998" t="s">
        <v>5069</v>
      </c>
      <c r="C4998" t="str">
        <f>"9783428173112"</f>
        <v>9783428173112</v>
      </c>
      <c r="D4998" t="str">
        <f>"9783428573110"</f>
        <v>9783428573110</v>
      </c>
      <c r="E4998" t="s">
        <v>4772</v>
      </c>
      <c r="F4998" s="1">
        <v>44681</v>
      </c>
    </row>
    <row r="4999" spans="1:6" x14ac:dyDescent="0.25">
      <c r="A4999">
        <v>7101250</v>
      </c>
      <c r="B4999" t="s">
        <v>5070</v>
      </c>
      <c r="C4999" t="str">
        <f>"9783428173129"</f>
        <v>9783428173129</v>
      </c>
      <c r="D4999" t="str">
        <f>"9783428573127"</f>
        <v>9783428573127</v>
      </c>
      <c r="E4999" t="s">
        <v>4772</v>
      </c>
      <c r="F4999" s="1">
        <v>44681</v>
      </c>
    </row>
    <row r="5000" spans="1:6" x14ac:dyDescent="0.25">
      <c r="A5000">
        <v>7101251</v>
      </c>
      <c r="B5000" t="s">
        <v>5071</v>
      </c>
      <c r="C5000" t="str">
        <f>"9783428173136"</f>
        <v>9783428173136</v>
      </c>
      <c r="D5000" t="str">
        <f>"9783428573134"</f>
        <v>9783428573134</v>
      </c>
      <c r="E5000" t="s">
        <v>4772</v>
      </c>
      <c r="F5000" s="1">
        <v>44681</v>
      </c>
    </row>
    <row r="5001" spans="1:6" x14ac:dyDescent="0.25">
      <c r="A5001">
        <v>7101252</v>
      </c>
      <c r="B5001" t="s">
        <v>5072</v>
      </c>
      <c r="C5001" t="str">
        <f>"9783428173143"</f>
        <v>9783428173143</v>
      </c>
      <c r="D5001" t="str">
        <f>"9783428573141"</f>
        <v>9783428573141</v>
      </c>
      <c r="E5001" t="s">
        <v>4772</v>
      </c>
      <c r="F5001" s="1">
        <v>44681</v>
      </c>
    </row>
    <row r="5002" spans="1:6" x14ac:dyDescent="0.25">
      <c r="A5002">
        <v>7101253</v>
      </c>
      <c r="B5002" t="s">
        <v>5073</v>
      </c>
      <c r="C5002" t="str">
        <f>"9783428173150"</f>
        <v>9783428173150</v>
      </c>
      <c r="D5002" t="str">
        <f>"9783428573158"</f>
        <v>9783428573158</v>
      </c>
      <c r="E5002" t="s">
        <v>4772</v>
      </c>
      <c r="F5002" s="1">
        <v>44681</v>
      </c>
    </row>
    <row r="5003" spans="1:6" x14ac:dyDescent="0.25">
      <c r="A5003">
        <v>7101254</v>
      </c>
      <c r="B5003" t="s">
        <v>5074</v>
      </c>
      <c r="C5003" t="str">
        <f>"9783428173167"</f>
        <v>9783428173167</v>
      </c>
      <c r="D5003" t="str">
        <f>"9783428573165"</f>
        <v>9783428573165</v>
      </c>
      <c r="E5003" t="s">
        <v>4772</v>
      </c>
      <c r="F5003" s="1">
        <v>44681</v>
      </c>
    </row>
    <row r="5004" spans="1:6" x14ac:dyDescent="0.25">
      <c r="A5004">
        <v>7101255</v>
      </c>
      <c r="B5004" t="s">
        <v>5075</v>
      </c>
      <c r="C5004" t="str">
        <f>"9783428173174"</f>
        <v>9783428173174</v>
      </c>
      <c r="D5004" t="str">
        <f>"9783428573172"</f>
        <v>9783428573172</v>
      </c>
      <c r="E5004" t="s">
        <v>4772</v>
      </c>
      <c r="F5004" s="1">
        <v>44681</v>
      </c>
    </row>
    <row r="5005" spans="1:6" x14ac:dyDescent="0.25">
      <c r="A5005">
        <v>7101256</v>
      </c>
      <c r="B5005" t="s">
        <v>5076</v>
      </c>
      <c r="C5005" t="str">
        <f>"9783428173181"</f>
        <v>9783428173181</v>
      </c>
      <c r="D5005" t="str">
        <f>"9783428573189"</f>
        <v>9783428573189</v>
      </c>
      <c r="E5005" t="s">
        <v>4772</v>
      </c>
      <c r="F5005" s="1">
        <v>44681</v>
      </c>
    </row>
    <row r="5006" spans="1:6" x14ac:dyDescent="0.25">
      <c r="A5006">
        <v>7101257</v>
      </c>
      <c r="B5006" t="s">
        <v>5077</v>
      </c>
      <c r="C5006" t="str">
        <f>"9783428173198"</f>
        <v>9783428173198</v>
      </c>
      <c r="D5006" t="str">
        <f>"9783428573196"</f>
        <v>9783428573196</v>
      </c>
      <c r="E5006" t="s">
        <v>4772</v>
      </c>
      <c r="F5006" s="1">
        <v>44681</v>
      </c>
    </row>
    <row r="5007" spans="1:6" x14ac:dyDescent="0.25">
      <c r="A5007">
        <v>7101258</v>
      </c>
      <c r="B5007" t="s">
        <v>5078</v>
      </c>
      <c r="C5007" t="str">
        <f>"9783428173204"</f>
        <v>9783428173204</v>
      </c>
      <c r="D5007" t="str">
        <f>"9783428573202"</f>
        <v>9783428573202</v>
      </c>
      <c r="E5007" t="s">
        <v>4772</v>
      </c>
      <c r="F5007" s="1">
        <v>44681</v>
      </c>
    </row>
    <row r="5008" spans="1:6" x14ac:dyDescent="0.25">
      <c r="A5008">
        <v>7101259</v>
      </c>
      <c r="B5008" t="s">
        <v>5079</v>
      </c>
      <c r="C5008" t="str">
        <f>"9783428173211"</f>
        <v>9783428173211</v>
      </c>
      <c r="D5008" t="str">
        <f>"9783428573219"</f>
        <v>9783428573219</v>
      </c>
      <c r="E5008" t="s">
        <v>4772</v>
      </c>
      <c r="F5008" s="1">
        <v>44681</v>
      </c>
    </row>
    <row r="5009" spans="1:6" x14ac:dyDescent="0.25">
      <c r="A5009">
        <v>7101260</v>
      </c>
      <c r="B5009" t="s">
        <v>5080</v>
      </c>
      <c r="C5009" t="str">
        <f>"9783428173228"</f>
        <v>9783428173228</v>
      </c>
      <c r="D5009" t="str">
        <f>"9783428573226"</f>
        <v>9783428573226</v>
      </c>
      <c r="E5009" t="s">
        <v>4772</v>
      </c>
      <c r="F5009" s="1">
        <v>44681</v>
      </c>
    </row>
    <row r="5010" spans="1:6" x14ac:dyDescent="0.25">
      <c r="A5010">
        <v>7101261</v>
      </c>
      <c r="B5010" t="s">
        <v>5081</v>
      </c>
      <c r="C5010" t="str">
        <f>"9783428173235"</f>
        <v>9783428173235</v>
      </c>
      <c r="D5010" t="str">
        <f>"9783428573233"</f>
        <v>9783428573233</v>
      </c>
      <c r="E5010" t="s">
        <v>4772</v>
      </c>
      <c r="F5010" s="1">
        <v>44681</v>
      </c>
    </row>
    <row r="5011" spans="1:6" x14ac:dyDescent="0.25">
      <c r="A5011">
        <v>7101262</v>
      </c>
      <c r="B5011" t="s">
        <v>5082</v>
      </c>
      <c r="C5011" t="str">
        <f>"9783428173242"</f>
        <v>9783428173242</v>
      </c>
      <c r="D5011" t="str">
        <f>"9783428573240"</f>
        <v>9783428573240</v>
      </c>
      <c r="E5011" t="s">
        <v>4772</v>
      </c>
      <c r="F5011" s="1">
        <v>44681</v>
      </c>
    </row>
    <row r="5012" spans="1:6" x14ac:dyDescent="0.25">
      <c r="A5012">
        <v>7101263</v>
      </c>
      <c r="B5012" t="s">
        <v>5083</v>
      </c>
      <c r="C5012" t="str">
        <f>"9783428173259"</f>
        <v>9783428173259</v>
      </c>
      <c r="D5012" t="str">
        <f>"9783428573257"</f>
        <v>9783428573257</v>
      </c>
      <c r="E5012" t="s">
        <v>4772</v>
      </c>
      <c r="F5012" s="1">
        <v>44681</v>
      </c>
    </row>
    <row r="5013" spans="1:6" x14ac:dyDescent="0.25">
      <c r="A5013">
        <v>7101264</v>
      </c>
      <c r="B5013" t="s">
        <v>5084</v>
      </c>
      <c r="C5013" t="str">
        <f>"9783428173266"</f>
        <v>9783428173266</v>
      </c>
      <c r="D5013" t="str">
        <f>"9783428573264"</f>
        <v>9783428573264</v>
      </c>
      <c r="E5013" t="s">
        <v>4772</v>
      </c>
      <c r="F5013" s="1">
        <v>44681</v>
      </c>
    </row>
    <row r="5014" spans="1:6" x14ac:dyDescent="0.25">
      <c r="A5014">
        <v>7101265</v>
      </c>
      <c r="B5014" t="s">
        <v>5085</v>
      </c>
      <c r="C5014" t="str">
        <f>"9783428173273"</f>
        <v>9783428173273</v>
      </c>
      <c r="D5014" t="str">
        <f>"9783428573271"</f>
        <v>9783428573271</v>
      </c>
      <c r="E5014" t="s">
        <v>4772</v>
      </c>
      <c r="F5014" s="1">
        <v>44687</v>
      </c>
    </row>
    <row r="5015" spans="1:6" x14ac:dyDescent="0.25">
      <c r="A5015">
        <v>7101266</v>
      </c>
      <c r="B5015" t="s">
        <v>5086</v>
      </c>
      <c r="C5015" t="str">
        <f>"9783428173280"</f>
        <v>9783428173280</v>
      </c>
      <c r="D5015" t="str">
        <f>"9783428573288"</f>
        <v>9783428573288</v>
      </c>
      <c r="E5015" t="s">
        <v>4772</v>
      </c>
      <c r="F5015" s="1">
        <v>44681</v>
      </c>
    </row>
    <row r="5016" spans="1:6" x14ac:dyDescent="0.25">
      <c r="A5016">
        <v>7101267</v>
      </c>
      <c r="B5016" t="s">
        <v>5087</v>
      </c>
      <c r="C5016" t="str">
        <f>"9783428173297"</f>
        <v>9783428173297</v>
      </c>
      <c r="D5016" t="str">
        <f>"9783428573295"</f>
        <v>9783428573295</v>
      </c>
      <c r="E5016" t="s">
        <v>4772</v>
      </c>
      <c r="F5016" s="1">
        <v>44681</v>
      </c>
    </row>
    <row r="5017" spans="1:6" x14ac:dyDescent="0.25">
      <c r="A5017">
        <v>7101268</v>
      </c>
      <c r="B5017" t="s">
        <v>5088</v>
      </c>
      <c r="C5017" t="str">
        <f>"9783428173303"</f>
        <v>9783428173303</v>
      </c>
      <c r="D5017" t="str">
        <f>"9783428573301"</f>
        <v>9783428573301</v>
      </c>
      <c r="E5017" t="s">
        <v>4772</v>
      </c>
      <c r="F5017" s="1">
        <v>44681</v>
      </c>
    </row>
    <row r="5018" spans="1:6" x14ac:dyDescent="0.25">
      <c r="A5018">
        <v>7101269</v>
      </c>
      <c r="B5018" t="s">
        <v>5089</v>
      </c>
      <c r="C5018" t="str">
        <f>"9783428173310"</f>
        <v>9783428173310</v>
      </c>
      <c r="D5018" t="str">
        <f>"9783428573318"</f>
        <v>9783428573318</v>
      </c>
      <c r="E5018" t="s">
        <v>4772</v>
      </c>
      <c r="F5018" s="1">
        <v>44681</v>
      </c>
    </row>
    <row r="5019" spans="1:6" x14ac:dyDescent="0.25">
      <c r="A5019">
        <v>7101270</v>
      </c>
      <c r="B5019" t="s">
        <v>5090</v>
      </c>
      <c r="C5019" t="str">
        <f>"9783428173334"</f>
        <v>9783428173334</v>
      </c>
      <c r="D5019" t="str">
        <f>"9783428573332"</f>
        <v>9783428573332</v>
      </c>
      <c r="E5019" t="s">
        <v>4772</v>
      </c>
      <c r="F5019" s="1">
        <v>44681</v>
      </c>
    </row>
    <row r="5020" spans="1:6" x14ac:dyDescent="0.25">
      <c r="A5020">
        <v>7101271</v>
      </c>
      <c r="B5020" t="s">
        <v>5091</v>
      </c>
      <c r="C5020" t="str">
        <f>"9783428173327"</f>
        <v>9783428173327</v>
      </c>
      <c r="D5020" t="str">
        <f>"9783428573325"</f>
        <v>9783428573325</v>
      </c>
      <c r="E5020" t="s">
        <v>4772</v>
      </c>
      <c r="F5020" s="1">
        <v>44681</v>
      </c>
    </row>
    <row r="5021" spans="1:6" x14ac:dyDescent="0.25">
      <c r="A5021">
        <v>7101272</v>
      </c>
      <c r="B5021" t="s">
        <v>5092</v>
      </c>
      <c r="C5021" t="str">
        <f>"9783428173341"</f>
        <v>9783428173341</v>
      </c>
      <c r="D5021" t="str">
        <f>"9783428573349"</f>
        <v>9783428573349</v>
      </c>
      <c r="E5021" t="s">
        <v>4772</v>
      </c>
      <c r="F5021" s="1">
        <v>44681</v>
      </c>
    </row>
    <row r="5022" spans="1:6" x14ac:dyDescent="0.25">
      <c r="A5022">
        <v>7101273</v>
      </c>
      <c r="B5022" t="s">
        <v>5093</v>
      </c>
      <c r="C5022" t="str">
        <f>"9783428173358"</f>
        <v>9783428173358</v>
      </c>
      <c r="D5022" t="str">
        <f>"9783428573356"</f>
        <v>9783428573356</v>
      </c>
      <c r="E5022" t="s">
        <v>4772</v>
      </c>
      <c r="F5022" s="1">
        <v>44681</v>
      </c>
    </row>
    <row r="5023" spans="1:6" x14ac:dyDescent="0.25">
      <c r="A5023">
        <v>7101274</v>
      </c>
      <c r="B5023" t="s">
        <v>5094</v>
      </c>
      <c r="C5023" t="str">
        <f>"9783428173365"</f>
        <v>9783428173365</v>
      </c>
      <c r="D5023" t="str">
        <f>"9783428573363"</f>
        <v>9783428573363</v>
      </c>
      <c r="E5023" t="s">
        <v>4772</v>
      </c>
      <c r="F5023" s="1">
        <v>44681</v>
      </c>
    </row>
    <row r="5024" spans="1:6" x14ac:dyDescent="0.25">
      <c r="A5024">
        <v>7101275</v>
      </c>
      <c r="B5024" t="s">
        <v>5095</v>
      </c>
      <c r="C5024" t="str">
        <f>"9783428173389"</f>
        <v>9783428173389</v>
      </c>
      <c r="D5024" t="str">
        <f>"9783428573387"</f>
        <v>9783428573387</v>
      </c>
      <c r="E5024" t="s">
        <v>4772</v>
      </c>
      <c r="F5024" s="1">
        <v>44681</v>
      </c>
    </row>
    <row r="5025" spans="1:6" x14ac:dyDescent="0.25">
      <c r="A5025">
        <v>7101276</v>
      </c>
      <c r="B5025" t="s">
        <v>5096</v>
      </c>
      <c r="C5025" t="str">
        <f>"9783428173372"</f>
        <v>9783428173372</v>
      </c>
      <c r="D5025" t="str">
        <f>"9783428573370"</f>
        <v>9783428573370</v>
      </c>
      <c r="E5025" t="s">
        <v>4772</v>
      </c>
      <c r="F5025" s="1">
        <v>44681</v>
      </c>
    </row>
    <row r="5026" spans="1:6" x14ac:dyDescent="0.25">
      <c r="A5026">
        <v>7101277</v>
      </c>
      <c r="B5026" t="s">
        <v>5097</v>
      </c>
      <c r="C5026" t="str">
        <f>"9783428173396"</f>
        <v>9783428173396</v>
      </c>
      <c r="D5026" t="str">
        <f>"9783428573394"</f>
        <v>9783428573394</v>
      </c>
      <c r="E5026" t="s">
        <v>4772</v>
      </c>
      <c r="F5026" s="1">
        <v>44681</v>
      </c>
    </row>
    <row r="5027" spans="1:6" x14ac:dyDescent="0.25">
      <c r="A5027">
        <v>7101278</v>
      </c>
      <c r="B5027" t="s">
        <v>5098</v>
      </c>
      <c r="C5027" t="str">
        <f>"9783428173402"</f>
        <v>9783428173402</v>
      </c>
      <c r="D5027" t="str">
        <f>"9783428573400"</f>
        <v>9783428573400</v>
      </c>
      <c r="E5027" t="s">
        <v>4772</v>
      </c>
      <c r="F5027" s="1">
        <v>44681</v>
      </c>
    </row>
    <row r="5028" spans="1:6" x14ac:dyDescent="0.25">
      <c r="A5028">
        <v>7101279</v>
      </c>
      <c r="B5028" t="s">
        <v>5099</v>
      </c>
      <c r="C5028" t="str">
        <f>"9783428173419"</f>
        <v>9783428173419</v>
      </c>
      <c r="D5028" t="str">
        <f>"9783428573417"</f>
        <v>9783428573417</v>
      </c>
      <c r="E5028" t="s">
        <v>4772</v>
      </c>
      <c r="F5028" s="1">
        <v>44681</v>
      </c>
    </row>
    <row r="5029" spans="1:6" x14ac:dyDescent="0.25">
      <c r="A5029">
        <v>7101280</v>
      </c>
      <c r="B5029" t="s">
        <v>5100</v>
      </c>
      <c r="C5029" t="str">
        <f>"9783428173426"</f>
        <v>9783428173426</v>
      </c>
      <c r="D5029" t="str">
        <f>"9783428573424"</f>
        <v>9783428573424</v>
      </c>
      <c r="E5029" t="s">
        <v>4772</v>
      </c>
      <c r="F5029" s="1">
        <v>44681</v>
      </c>
    </row>
    <row r="5030" spans="1:6" x14ac:dyDescent="0.25">
      <c r="A5030">
        <v>7101281</v>
      </c>
      <c r="B5030" t="s">
        <v>5101</v>
      </c>
      <c r="C5030" t="str">
        <f>"9783428173440"</f>
        <v>9783428173440</v>
      </c>
      <c r="D5030" t="str">
        <f>"9783428573448"</f>
        <v>9783428573448</v>
      </c>
      <c r="E5030" t="s">
        <v>4772</v>
      </c>
      <c r="F5030" s="1">
        <v>44681</v>
      </c>
    </row>
    <row r="5031" spans="1:6" x14ac:dyDescent="0.25">
      <c r="A5031">
        <v>7101282</v>
      </c>
      <c r="B5031" t="s">
        <v>5102</v>
      </c>
      <c r="C5031" t="str">
        <f>"9783428173433"</f>
        <v>9783428173433</v>
      </c>
      <c r="D5031" t="str">
        <f>"9783428573431"</f>
        <v>9783428573431</v>
      </c>
      <c r="E5031" t="s">
        <v>4772</v>
      </c>
      <c r="F5031" s="1">
        <v>44681</v>
      </c>
    </row>
    <row r="5032" spans="1:6" x14ac:dyDescent="0.25">
      <c r="A5032">
        <v>7101283</v>
      </c>
      <c r="B5032" t="s">
        <v>5103</v>
      </c>
      <c r="C5032" t="str">
        <f>"9783428173457"</f>
        <v>9783428173457</v>
      </c>
      <c r="D5032" t="str">
        <f>"9783428573455"</f>
        <v>9783428573455</v>
      </c>
      <c r="E5032" t="s">
        <v>4772</v>
      </c>
      <c r="F5032" s="1">
        <v>44681</v>
      </c>
    </row>
    <row r="5033" spans="1:6" x14ac:dyDescent="0.25">
      <c r="A5033">
        <v>7101284</v>
      </c>
      <c r="B5033" t="s">
        <v>5104</v>
      </c>
      <c r="C5033" t="str">
        <f>"9783428173471"</f>
        <v>9783428173471</v>
      </c>
      <c r="D5033" t="str">
        <f>"9783428573479"</f>
        <v>9783428573479</v>
      </c>
      <c r="E5033" t="s">
        <v>4772</v>
      </c>
      <c r="F5033" s="1">
        <v>44681</v>
      </c>
    </row>
    <row r="5034" spans="1:6" x14ac:dyDescent="0.25">
      <c r="A5034">
        <v>7101285</v>
      </c>
      <c r="B5034" t="s">
        <v>5105</v>
      </c>
      <c r="C5034" t="str">
        <f>"9783428173464"</f>
        <v>9783428173464</v>
      </c>
      <c r="D5034" t="str">
        <f>"9783428573462"</f>
        <v>9783428573462</v>
      </c>
      <c r="E5034" t="s">
        <v>4772</v>
      </c>
      <c r="F5034" s="1">
        <v>44681</v>
      </c>
    </row>
    <row r="5035" spans="1:6" x14ac:dyDescent="0.25">
      <c r="A5035">
        <v>7101286</v>
      </c>
      <c r="B5035" t="s">
        <v>5106</v>
      </c>
      <c r="C5035" t="str">
        <f>"9783428173488"</f>
        <v>9783428173488</v>
      </c>
      <c r="D5035" t="str">
        <f>"9783428573486"</f>
        <v>9783428573486</v>
      </c>
      <c r="E5035" t="s">
        <v>4772</v>
      </c>
      <c r="F5035" s="1">
        <v>44681</v>
      </c>
    </row>
    <row r="5036" spans="1:6" x14ac:dyDescent="0.25">
      <c r="A5036">
        <v>7101287</v>
      </c>
      <c r="B5036" t="s">
        <v>5107</v>
      </c>
      <c r="C5036" t="str">
        <f>"9783428173495"</f>
        <v>9783428173495</v>
      </c>
      <c r="D5036" t="str">
        <f>"9783428573493"</f>
        <v>9783428573493</v>
      </c>
      <c r="E5036" t="s">
        <v>4772</v>
      </c>
      <c r="F5036" s="1">
        <v>44681</v>
      </c>
    </row>
    <row r="5037" spans="1:6" x14ac:dyDescent="0.25">
      <c r="A5037">
        <v>7101288</v>
      </c>
      <c r="B5037" t="s">
        <v>5108</v>
      </c>
      <c r="C5037" t="str">
        <f>"9783428173501"</f>
        <v>9783428173501</v>
      </c>
      <c r="D5037" t="str">
        <f>"9783428573509"</f>
        <v>9783428573509</v>
      </c>
      <c r="E5037" t="s">
        <v>4772</v>
      </c>
      <c r="F5037" s="1">
        <v>44681</v>
      </c>
    </row>
    <row r="5038" spans="1:6" x14ac:dyDescent="0.25">
      <c r="A5038">
        <v>7101289</v>
      </c>
      <c r="B5038" t="s">
        <v>5109</v>
      </c>
      <c r="C5038" t="str">
        <f>"9783428173518"</f>
        <v>9783428173518</v>
      </c>
      <c r="D5038" t="str">
        <f>"9783428573516"</f>
        <v>9783428573516</v>
      </c>
      <c r="E5038" t="s">
        <v>4772</v>
      </c>
      <c r="F5038" s="1">
        <v>44681</v>
      </c>
    </row>
    <row r="5039" spans="1:6" x14ac:dyDescent="0.25">
      <c r="A5039">
        <v>7101290</v>
      </c>
      <c r="B5039" t="s">
        <v>5110</v>
      </c>
      <c r="C5039" t="str">
        <f>"9783428173525"</f>
        <v>9783428173525</v>
      </c>
      <c r="D5039" t="str">
        <f>"9783428573523"</f>
        <v>9783428573523</v>
      </c>
      <c r="E5039" t="s">
        <v>4772</v>
      </c>
      <c r="F5039" s="1">
        <v>44681</v>
      </c>
    </row>
    <row r="5040" spans="1:6" x14ac:dyDescent="0.25">
      <c r="A5040">
        <v>7101291</v>
      </c>
      <c r="B5040" t="s">
        <v>5111</v>
      </c>
      <c r="C5040" t="str">
        <f>"9783428173549"</f>
        <v>9783428173549</v>
      </c>
      <c r="D5040" t="str">
        <f>"9783428573547"</f>
        <v>9783428573547</v>
      </c>
      <c r="E5040" t="s">
        <v>4772</v>
      </c>
      <c r="F5040" s="1">
        <v>44681</v>
      </c>
    </row>
    <row r="5041" spans="1:6" x14ac:dyDescent="0.25">
      <c r="A5041">
        <v>7101292</v>
      </c>
      <c r="B5041" t="s">
        <v>5112</v>
      </c>
      <c r="C5041" t="str">
        <f>"9783428173532"</f>
        <v>9783428173532</v>
      </c>
      <c r="D5041" t="str">
        <f>"9783428573530"</f>
        <v>9783428573530</v>
      </c>
      <c r="E5041" t="s">
        <v>4772</v>
      </c>
      <c r="F5041" s="1">
        <v>44681</v>
      </c>
    </row>
    <row r="5042" spans="1:6" x14ac:dyDescent="0.25">
      <c r="A5042">
        <v>7101293</v>
      </c>
      <c r="B5042" t="s">
        <v>5113</v>
      </c>
      <c r="C5042" t="str">
        <f>"9783428173556"</f>
        <v>9783428173556</v>
      </c>
      <c r="D5042" t="str">
        <f>"9783428573554"</f>
        <v>9783428573554</v>
      </c>
      <c r="E5042" t="s">
        <v>4772</v>
      </c>
      <c r="F5042" s="1">
        <v>44681</v>
      </c>
    </row>
    <row r="5043" spans="1:6" x14ac:dyDescent="0.25">
      <c r="A5043">
        <v>7101294</v>
      </c>
      <c r="B5043" t="s">
        <v>5114</v>
      </c>
      <c r="C5043" t="str">
        <f>"9783428173563"</f>
        <v>9783428173563</v>
      </c>
      <c r="D5043" t="str">
        <f>"9783428573561"</f>
        <v>9783428573561</v>
      </c>
      <c r="E5043" t="s">
        <v>4772</v>
      </c>
      <c r="F5043" s="1">
        <v>44705</v>
      </c>
    </row>
    <row r="5044" spans="1:6" x14ac:dyDescent="0.25">
      <c r="A5044">
        <v>7101295</v>
      </c>
      <c r="B5044" t="s">
        <v>5115</v>
      </c>
      <c r="C5044" t="str">
        <f>"9783428173570"</f>
        <v>9783428173570</v>
      </c>
      <c r="D5044" t="str">
        <f>"9783428573578"</f>
        <v>9783428573578</v>
      </c>
      <c r="E5044" t="s">
        <v>4772</v>
      </c>
      <c r="F5044" s="1">
        <v>44692</v>
      </c>
    </row>
    <row r="5045" spans="1:6" x14ac:dyDescent="0.25">
      <c r="A5045">
        <v>7101296</v>
      </c>
      <c r="B5045" t="s">
        <v>5116</v>
      </c>
      <c r="C5045" t="str">
        <f>"9783428173594"</f>
        <v>9783428173594</v>
      </c>
      <c r="D5045" t="str">
        <f>"9783428573592"</f>
        <v>9783428573592</v>
      </c>
      <c r="E5045" t="s">
        <v>4772</v>
      </c>
      <c r="F5045" s="1">
        <v>44692</v>
      </c>
    </row>
    <row r="5046" spans="1:6" x14ac:dyDescent="0.25">
      <c r="A5046">
        <v>7101297</v>
      </c>
      <c r="B5046" t="s">
        <v>5117</v>
      </c>
      <c r="C5046" t="str">
        <f>"9783428173617"</f>
        <v>9783428173617</v>
      </c>
      <c r="D5046" t="str">
        <f>"9783428573615"</f>
        <v>9783428573615</v>
      </c>
      <c r="E5046" t="s">
        <v>4772</v>
      </c>
      <c r="F5046" s="1">
        <v>44692</v>
      </c>
    </row>
    <row r="5047" spans="1:6" x14ac:dyDescent="0.25">
      <c r="A5047">
        <v>7101298</v>
      </c>
      <c r="B5047" t="s">
        <v>5118</v>
      </c>
      <c r="C5047" t="str">
        <f>"9783428173631"</f>
        <v>9783428173631</v>
      </c>
      <c r="D5047" t="str">
        <f>"9783428573639"</f>
        <v>9783428573639</v>
      </c>
      <c r="E5047" t="s">
        <v>4772</v>
      </c>
      <c r="F5047" s="1">
        <v>44692</v>
      </c>
    </row>
    <row r="5048" spans="1:6" x14ac:dyDescent="0.25">
      <c r="A5048">
        <v>7101299</v>
      </c>
      <c r="B5048" t="s">
        <v>5119</v>
      </c>
      <c r="C5048" t="str">
        <f>"9783428173648"</f>
        <v>9783428173648</v>
      </c>
      <c r="D5048" t="str">
        <f>"9783428573646"</f>
        <v>9783428573646</v>
      </c>
      <c r="E5048" t="s">
        <v>4772</v>
      </c>
      <c r="F5048" s="1">
        <v>44692</v>
      </c>
    </row>
    <row r="5049" spans="1:6" x14ac:dyDescent="0.25">
      <c r="A5049">
        <v>7101300</v>
      </c>
      <c r="B5049" t="s">
        <v>5120</v>
      </c>
      <c r="C5049" t="str">
        <f>"9783428173655"</f>
        <v>9783428173655</v>
      </c>
      <c r="D5049" t="str">
        <f>"9783428573653"</f>
        <v>9783428573653</v>
      </c>
      <c r="E5049" t="s">
        <v>4772</v>
      </c>
      <c r="F5049" s="1">
        <v>44692</v>
      </c>
    </row>
    <row r="5050" spans="1:6" x14ac:dyDescent="0.25">
      <c r="A5050">
        <v>7101301</v>
      </c>
      <c r="B5050" t="s">
        <v>5121</v>
      </c>
      <c r="C5050" t="str">
        <f>"9783428173662"</f>
        <v>9783428173662</v>
      </c>
      <c r="D5050" t="str">
        <f>"9783428573660"</f>
        <v>9783428573660</v>
      </c>
      <c r="E5050" t="s">
        <v>4772</v>
      </c>
      <c r="F5050" s="1">
        <v>44692</v>
      </c>
    </row>
    <row r="5051" spans="1:6" x14ac:dyDescent="0.25">
      <c r="A5051">
        <v>7101302</v>
      </c>
      <c r="B5051" t="s">
        <v>5122</v>
      </c>
      <c r="C5051" t="str">
        <f>"9783428173679"</f>
        <v>9783428173679</v>
      </c>
      <c r="D5051" t="str">
        <f>"9783428573677"</f>
        <v>9783428573677</v>
      </c>
      <c r="E5051" t="s">
        <v>4772</v>
      </c>
      <c r="F5051" s="1">
        <v>44692</v>
      </c>
    </row>
    <row r="5052" spans="1:6" x14ac:dyDescent="0.25">
      <c r="A5052">
        <v>7101303</v>
      </c>
      <c r="B5052" t="s">
        <v>5123</v>
      </c>
      <c r="C5052" t="str">
        <f>"9783428173686"</f>
        <v>9783428173686</v>
      </c>
      <c r="D5052" t="str">
        <f>"9783428573684"</f>
        <v>9783428573684</v>
      </c>
      <c r="E5052" t="s">
        <v>4772</v>
      </c>
      <c r="F5052" s="1">
        <v>44692</v>
      </c>
    </row>
    <row r="5053" spans="1:6" x14ac:dyDescent="0.25">
      <c r="A5053">
        <v>7101304</v>
      </c>
      <c r="B5053" t="s">
        <v>5124</v>
      </c>
      <c r="C5053" t="str">
        <f>"9783428173693"</f>
        <v>9783428173693</v>
      </c>
      <c r="D5053" t="str">
        <f>"9783428573691"</f>
        <v>9783428573691</v>
      </c>
      <c r="E5053" t="s">
        <v>4772</v>
      </c>
      <c r="F5053" s="1">
        <v>44692</v>
      </c>
    </row>
    <row r="5054" spans="1:6" x14ac:dyDescent="0.25">
      <c r="A5054">
        <v>7101305</v>
      </c>
      <c r="B5054" t="s">
        <v>5125</v>
      </c>
      <c r="C5054" t="str">
        <f>"9783428173709"</f>
        <v>9783428173709</v>
      </c>
      <c r="D5054" t="str">
        <f>"9783428573707"</f>
        <v>9783428573707</v>
      </c>
      <c r="E5054" t="s">
        <v>4772</v>
      </c>
      <c r="F5054" s="1">
        <v>44692</v>
      </c>
    </row>
    <row r="5055" spans="1:6" x14ac:dyDescent="0.25">
      <c r="A5055">
        <v>7101306</v>
      </c>
      <c r="B5055" t="s">
        <v>5126</v>
      </c>
      <c r="C5055" t="str">
        <f>"9783428173716"</f>
        <v>9783428173716</v>
      </c>
      <c r="D5055" t="str">
        <f>"9783428573714"</f>
        <v>9783428573714</v>
      </c>
      <c r="E5055" t="s">
        <v>4772</v>
      </c>
      <c r="F5055" s="1">
        <v>44692</v>
      </c>
    </row>
    <row r="5056" spans="1:6" x14ac:dyDescent="0.25">
      <c r="A5056">
        <v>7101307</v>
      </c>
      <c r="B5056" t="s">
        <v>5127</v>
      </c>
      <c r="C5056" t="str">
        <f>"9783428173723"</f>
        <v>9783428173723</v>
      </c>
      <c r="D5056" t="str">
        <f>"9783428573721"</f>
        <v>9783428573721</v>
      </c>
      <c r="E5056" t="s">
        <v>4772</v>
      </c>
      <c r="F5056" s="1">
        <v>44692</v>
      </c>
    </row>
    <row r="5057" spans="1:6" x14ac:dyDescent="0.25">
      <c r="A5057">
        <v>7101308</v>
      </c>
      <c r="B5057" t="s">
        <v>5128</v>
      </c>
      <c r="C5057" t="str">
        <f>"9783428173730"</f>
        <v>9783428173730</v>
      </c>
      <c r="D5057" t="str">
        <f>"9783428573738"</f>
        <v>9783428573738</v>
      </c>
      <c r="E5057" t="s">
        <v>4772</v>
      </c>
      <c r="F5057" s="1">
        <v>44692</v>
      </c>
    </row>
    <row r="5058" spans="1:6" x14ac:dyDescent="0.25">
      <c r="A5058">
        <v>7101309</v>
      </c>
      <c r="B5058" t="s">
        <v>5129</v>
      </c>
      <c r="C5058" t="str">
        <f>"9783428173747"</f>
        <v>9783428173747</v>
      </c>
      <c r="D5058" t="str">
        <f>"9783428573745"</f>
        <v>9783428573745</v>
      </c>
      <c r="E5058" t="s">
        <v>4772</v>
      </c>
      <c r="F5058" s="1">
        <v>44692</v>
      </c>
    </row>
    <row r="5059" spans="1:6" x14ac:dyDescent="0.25">
      <c r="A5059">
        <v>7101310</v>
      </c>
      <c r="B5059" t="s">
        <v>5130</v>
      </c>
      <c r="C5059" t="str">
        <f>"9783428173761"</f>
        <v>9783428173761</v>
      </c>
      <c r="D5059" t="str">
        <f>"9783428573769"</f>
        <v>9783428573769</v>
      </c>
      <c r="E5059" t="s">
        <v>4772</v>
      </c>
      <c r="F5059" s="1">
        <v>44692</v>
      </c>
    </row>
    <row r="5060" spans="1:6" x14ac:dyDescent="0.25">
      <c r="A5060">
        <v>7101311</v>
      </c>
      <c r="B5060" t="s">
        <v>5131</v>
      </c>
      <c r="C5060" t="str">
        <f>"9783428173754"</f>
        <v>9783428173754</v>
      </c>
      <c r="D5060" t="str">
        <f>"9783428573752"</f>
        <v>9783428573752</v>
      </c>
      <c r="E5060" t="s">
        <v>4772</v>
      </c>
      <c r="F5060" s="1">
        <v>44692</v>
      </c>
    </row>
    <row r="5061" spans="1:6" x14ac:dyDescent="0.25">
      <c r="A5061">
        <v>7101312</v>
      </c>
      <c r="B5061" t="s">
        <v>5132</v>
      </c>
      <c r="C5061" t="str">
        <f>"9783428173778"</f>
        <v>9783428173778</v>
      </c>
      <c r="D5061" t="str">
        <f>"9783428573776"</f>
        <v>9783428573776</v>
      </c>
      <c r="E5061" t="s">
        <v>4772</v>
      </c>
      <c r="F5061" s="1">
        <v>44692</v>
      </c>
    </row>
    <row r="5062" spans="1:6" x14ac:dyDescent="0.25">
      <c r="A5062">
        <v>7101313</v>
      </c>
      <c r="B5062" t="s">
        <v>5133</v>
      </c>
      <c r="C5062" t="str">
        <f>"9783428173785"</f>
        <v>9783428173785</v>
      </c>
      <c r="D5062" t="str">
        <f>"9783428573783"</f>
        <v>9783428573783</v>
      </c>
      <c r="E5062" t="s">
        <v>4772</v>
      </c>
      <c r="F5062" s="1">
        <v>44692</v>
      </c>
    </row>
    <row r="5063" spans="1:6" x14ac:dyDescent="0.25">
      <c r="A5063">
        <v>7101314</v>
      </c>
      <c r="B5063" t="s">
        <v>5134</v>
      </c>
      <c r="C5063" t="str">
        <f>"9783428173792"</f>
        <v>9783428173792</v>
      </c>
      <c r="D5063" t="str">
        <f>"9783428573790"</f>
        <v>9783428573790</v>
      </c>
      <c r="E5063" t="s">
        <v>4772</v>
      </c>
      <c r="F5063" s="1">
        <v>44692</v>
      </c>
    </row>
    <row r="5064" spans="1:6" x14ac:dyDescent="0.25">
      <c r="A5064">
        <v>7101315</v>
      </c>
      <c r="B5064" t="s">
        <v>5135</v>
      </c>
      <c r="C5064" t="str">
        <f>"9783428173808"</f>
        <v>9783428173808</v>
      </c>
      <c r="D5064" t="str">
        <f>"9783428573806"</f>
        <v>9783428573806</v>
      </c>
      <c r="E5064" t="s">
        <v>4772</v>
      </c>
      <c r="F5064" s="1">
        <v>44692</v>
      </c>
    </row>
    <row r="5065" spans="1:6" x14ac:dyDescent="0.25">
      <c r="A5065">
        <v>7101316</v>
      </c>
      <c r="B5065" t="s">
        <v>5136</v>
      </c>
      <c r="C5065" t="str">
        <f>"9783428173815"</f>
        <v>9783428173815</v>
      </c>
      <c r="D5065" t="str">
        <f>"9783428573813"</f>
        <v>9783428573813</v>
      </c>
      <c r="E5065" t="s">
        <v>4772</v>
      </c>
      <c r="F5065" s="1">
        <v>44692</v>
      </c>
    </row>
    <row r="5066" spans="1:6" x14ac:dyDescent="0.25">
      <c r="A5066">
        <v>7101317</v>
      </c>
      <c r="B5066" t="s">
        <v>5137</v>
      </c>
      <c r="C5066" t="str">
        <f>"9783428173839"</f>
        <v>9783428173839</v>
      </c>
      <c r="D5066" t="str">
        <f>"9783428573837"</f>
        <v>9783428573837</v>
      </c>
      <c r="E5066" t="s">
        <v>4772</v>
      </c>
      <c r="F5066" s="1">
        <v>44692</v>
      </c>
    </row>
    <row r="5067" spans="1:6" x14ac:dyDescent="0.25">
      <c r="A5067">
        <v>7101318</v>
      </c>
      <c r="B5067" t="s">
        <v>5138</v>
      </c>
      <c r="C5067" t="str">
        <f>"9783428173822"</f>
        <v>9783428173822</v>
      </c>
      <c r="D5067" t="str">
        <f>"9783428573820"</f>
        <v>9783428573820</v>
      </c>
      <c r="E5067" t="s">
        <v>4772</v>
      </c>
      <c r="F5067" s="1">
        <v>44692</v>
      </c>
    </row>
    <row r="5068" spans="1:6" x14ac:dyDescent="0.25">
      <c r="A5068">
        <v>7101319</v>
      </c>
      <c r="B5068" t="s">
        <v>5139</v>
      </c>
      <c r="C5068" t="str">
        <f>"9783428173846"</f>
        <v>9783428173846</v>
      </c>
      <c r="D5068" t="str">
        <f>"9783428573844"</f>
        <v>9783428573844</v>
      </c>
      <c r="E5068" t="s">
        <v>4772</v>
      </c>
      <c r="F5068" s="1">
        <v>44692</v>
      </c>
    </row>
    <row r="5069" spans="1:6" x14ac:dyDescent="0.25">
      <c r="A5069">
        <v>7101320</v>
      </c>
      <c r="B5069" t="s">
        <v>5140</v>
      </c>
      <c r="C5069" t="str">
        <f>"9783428173853"</f>
        <v>9783428173853</v>
      </c>
      <c r="D5069" t="str">
        <f>"9783428573851"</f>
        <v>9783428573851</v>
      </c>
      <c r="E5069" t="s">
        <v>4772</v>
      </c>
      <c r="F5069" s="1">
        <v>44692</v>
      </c>
    </row>
    <row r="5070" spans="1:6" x14ac:dyDescent="0.25">
      <c r="A5070">
        <v>7101321</v>
      </c>
      <c r="B5070" t="s">
        <v>5141</v>
      </c>
      <c r="C5070" t="str">
        <f>"9783428173860"</f>
        <v>9783428173860</v>
      </c>
      <c r="D5070" t="str">
        <f>"9783428573868"</f>
        <v>9783428573868</v>
      </c>
      <c r="E5070" t="s">
        <v>4772</v>
      </c>
      <c r="F5070" s="1">
        <v>44694</v>
      </c>
    </row>
    <row r="5071" spans="1:6" x14ac:dyDescent="0.25">
      <c r="A5071">
        <v>7101322</v>
      </c>
      <c r="B5071" t="s">
        <v>5142</v>
      </c>
      <c r="C5071" t="str">
        <f>"9783428173877"</f>
        <v>9783428173877</v>
      </c>
      <c r="D5071" t="str">
        <f>"9783428573875"</f>
        <v>9783428573875</v>
      </c>
      <c r="E5071" t="s">
        <v>4772</v>
      </c>
      <c r="F5071" s="1">
        <v>44694</v>
      </c>
    </row>
    <row r="5072" spans="1:6" x14ac:dyDescent="0.25">
      <c r="A5072">
        <v>7101323</v>
      </c>
      <c r="B5072" t="s">
        <v>5143</v>
      </c>
      <c r="C5072" t="str">
        <f>"9783428173884"</f>
        <v>9783428173884</v>
      </c>
      <c r="D5072" t="str">
        <f>"9783428573882"</f>
        <v>9783428573882</v>
      </c>
      <c r="E5072" t="s">
        <v>4772</v>
      </c>
      <c r="F5072" s="1">
        <v>44694</v>
      </c>
    </row>
    <row r="5073" spans="1:6" x14ac:dyDescent="0.25">
      <c r="A5073">
        <v>7101324</v>
      </c>
      <c r="B5073" t="s">
        <v>5144</v>
      </c>
      <c r="C5073" t="str">
        <f>"9783428173891"</f>
        <v>9783428173891</v>
      </c>
      <c r="D5073" t="str">
        <f>"9783428573899"</f>
        <v>9783428573899</v>
      </c>
      <c r="E5073" t="s">
        <v>4772</v>
      </c>
      <c r="F5073" s="1">
        <v>44694</v>
      </c>
    </row>
    <row r="5074" spans="1:6" x14ac:dyDescent="0.25">
      <c r="A5074">
        <v>7101325</v>
      </c>
      <c r="B5074" t="s">
        <v>5145</v>
      </c>
      <c r="C5074" t="str">
        <f>"9783428173907"</f>
        <v>9783428173907</v>
      </c>
      <c r="D5074" t="str">
        <f>"9783428573905"</f>
        <v>9783428573905</v>
      </c>
      <c r="E5074" t="s">
        <v>4772</v>
      </c>
      <c r="F5074" s="1">
        <v>44705</v>
      </c>
    </row>
    <row r="5075" spans="1:6" x14ac:dyDescent="0.25">
      <c r="A5075">
        <v>7101326</v>
      </c>
      <c r="B5075" t="s">
        <v>5146</v>
      </c>
      <c r="C5075" t="str">
        <f>"9783428173914"</f>
        <v>9783428173914</v>
      </c>
      <c r="D5075" t="str">
        <f>"9783428573912"</f>
        <v>9783428573912</v>
      </c>
      <c r="E5075" t="s">
        <v>4772</v>
      </c>
      <c r="F5075" s="1">
        <v>44705</v>
      </c>
    </row>
    <row r="5076" spans="1:6" x14ac:dyDescent="0.25">
      <c r="A5076">
        <v>7101327</v>
      </c>
      <c r="B5076" t="s">
        <v>5147</v>
      </c>
      <c r="C5076" t="str">
        <f>"9783428173921"</f>
        <v>9783428173921</v>
      </c>
      <c r="D5076" t="str">
        <f>"9783428573929"</f>
        <v>9783428573929</v>
      </c>
      <c r="E5076" t="s">
        <v>4772</v>
      </c>
      <c r="F5076" s="1">
        <v>44705</v>
      </c>
    </row>
    <row r="5077" spans="1:6" x14ac:dyDescent="0.25">
      <c r="A5077">
        <v>7101328</v>
      </c>
      <c r="B5077" t="s">
        <v>5148</v>
      </c>
      <c r="C5077" t="str">
        <f>"9783428173938"</f>
        <v>9783428173938</v>
      </c>
      <c r="D5077" t="str">
        <f>"9783428573936"</f>
        <v>9783428573936</v>
      </c>
      <c r="E5077" t="s">
        <v>4772</v>
      </c>
      <c r="F5077" s="1">
        <v>44705</v>
      </c>
    </row>
    <row r="5078" spans="1:6" x14ac:dyDescent="0.25">
      <c r="A5078">
        <v>7101329</v>
      </c>
      <c r="B5078" t="s">
        <v>5149</v>
      </c>
      <c r="C5078" t="str">
        <f>"9783428173945"</f>
        <v>9783428173945</v>
      </c>
      <c r="D5078" t="str">
        <f>"9783428573943"</f>
        <v>9783428573943</v>
      </c>
      <c r="E5078" t="s">
        <v>4772</v>
      </c>
      <c r="F5078" s="1">
        <v>44705</v>
      </c>
    </row>
    <row r="5079" spans="1:6" x14ac:dyDescent="0.25">
      <c r="A5079">
        <v>7101330</v>
      </c>
      <c r="B5079" t="s">
        <v>5150</v>
      </c>
      <c r="C5079" t="str">
        <f>"9783428173952"</f>
        <v>9783428173952</v>
      </c>
      <c r="D5079" t="str">
        <f>"9783428573950"</f>
        <v>9783428573950</v>
      </c>
      <c r="E5079" t="s">
        <v>4772</v>
      </c>
      <c r="F5079" s="1">
        <v>44705</v>
      </c>
    </row>
    <row r="5080" spans="1:6" x14ac:dyDescent="0.25">
      <c r="A5080">
        <v>7101331</v>
      </c>
      <c r="B5080" t="s">
        <v>5151</v>
      </c>
      <c r="C5080" t="str">
        <f>"9783428173969"</f>
        <v>9783428173969</v>
      </c>
      <c r="D5080" t="str">
        <f>"9783428573967"</f>
        <v>9783428573967</v>
      </c>
      <c r="E5080" t="s">
        <v>4772</v>
      </c>
      <c r="F5080" s="1">
        <v>44705</v>
      </c>
    </row>
    <row r="5081" spans="1:6" x14ac:dyDescent="0.25">
      <c r="A5081">
        <v>7101332</v>
      </c>
      <c r="B5081" t="s">
        <v>5152</v>
      </c>
      <c r="C5081" t="str">
        <f>"9783428173976"</f>
        <v>9783428173976</v>
      </c>
      <c r="D5081" t="str">
        <f>"9783428573974"</f>
        <v>9783428573974</v>
      </c>
      <c r="E5081" t="s">
        <v>4772</v>
      </c>
      <c r="F5081" s="1">
        <v>44705</v>
      </c>
    </row>
    <row r="5082" spans="1:6" x14ac:dyDescent="0.25">
      <c r="A5082">
        <v>7101333</v>
      </c>
      <c r="B5082" t="s">
        <v>5153</v>
      </c>
      <c r="C5082" t="str">
        <f>"9783428173983"</f>
        <v>9783428173983</v>
      </c>
      <c r="D5082" t="str">
        <f>"9783428573981"</f>
        <v>9783428573981</v>
      </c>
      <c r="E5082" t="s">
        <v>4772</v>
      </c>
      <c r="F5082" s="1">
        <v>44705</v>
      </c>
    </row>
    <row r="5083" spans="1:6" x14ac:dyDescent="0.25">
      <c r="A5083">
        <v>7101334</v>
      </c>
      <c r="B5083" t="s">
        <v>5154</v>
      </c>
      <c r="C5083" t="str">
        <f>"9783428173990"</f>
        <v>9783428173990</v>
      </c>
      <c r="D5083" t="str">
        <f>"9783428573998"</f>
        <v>9783428573998</v>
      </c>
      <c r="E5083" t="s">
        <v>4772</v>
      </c>
      <c r="F5083" s="1">
        <v>44705</v>
      </c>
    </row>
    <row r="5084" spans="1:6" x14ac:dyDescent="0.25">
      <c r="A5084">
        <v>7101335</v>
      </c>
      <c r="B5084" t="s">
        <v>5155</v>
      </c>
      <c r="C5084" t="str">
        <f>"9783428174003"</f>
        <v>9783428174003</v>
      </c>
      <c r="D5084" t="str">
        <f>"9783428574001"</f>
        <v>9783428574001</v>
      </c>
      <c r="E5084" t="s">
        <v>4772</v>
      </c>
      <c r="F5084" s="1">
        <v>44705</v>
      </c>
    </row>
    <row r="5085" spans="1:6" x14ac:dyDescent="0.25">
      <c r="A5085">
        <v>7101336</v>
      </c>
      <c r="B5085" t="s">
        <v>5156</v>
      </c>
      <c r="C5085" t="str">
        <f>"9783428174140"</f>
        <v>9783428174140</v>
      </c>
      <c r="D5085" t="str">
        <f>"9783428574148"</f>
        <v>9783428574148</v>
      </c>
      <c r="E5085" t="s">
        <v>4772</v>
      </c>
      <c r="F5085" s="1">
        <v>44705</v>
      </c>
    </row>
    <row r="5086" spans="1:6" x14ac:dyDescent="0.25">
      <c r="A5086">
        <v>7101337</v>
      </c>
      <c r="B5086" t="s">
        <v>5157</v>
      </c>
      <c r="C5086" t="str">
        <f>"9783428174157"</f>
        <v>9783428174157</v>
      </c>
      <c r="D5086" t="str">
        <f>"9783428574155"</f>
        <v>9783428574155</v>
      </c>
      <c r="E5086" t="s">
        <v>4772</v>
      </c>
      <c r="F5086" s="1">
        <v>44705</v>
      </c>
    </row>
    <row r="5087" spans="1:6" x14ac:dyDescent="0.25">
      <c r="A5087">
        <v>7101338</v>
      </c>
      <c r="B5087" t="s">
        <v>5158</v>
      </c>
      <c r="C5087" t="str">
        <f>"9783428174164"</f>
        <v>9783428174164</v>
      </c>
      <c r="D5087" t="str">
        <f>"9783428574162"</f>
        <v>9783428574162</v>
      </c>
      <c r="E5087" t="s">
        <v>4772</v>
      </c>
      <c r="F5087" s="1">
        <v>44705</v>
      </c>
    </row>
    <row r="5088" spans="1:6" x14ac:dyDescent="0.25">
      <c r="A5088">
        <v>7101339</v>
      </c>
      <c r="B5088" t="s">
        <v>5159</v>
      </c>
      <c r="C5088" t="str">
        <f>"9783428174171"</f>
        <v>9783428174171</v>
      </c>
      <c r="D5088" t="str">
        <f>"9783428574179"</f>
        <v>9783428574179</v>
      </c>
      <c r="E5088" t="s">
        <v>4772</v>
      </c>
      <c r="F5088" s="1">
        <v>44705</v>
      </c>
    </row>
    <row r="5089" spans="1:6" x14ac:dyDescent="0.25">
      <c r="A5089">
        <v>7101340</v>
      </c>
      <c r="B5089" t="s">
        <v>5160</v>
      </c>
      <c r="C5089" t="str">
        <f>"9783428174188"</f>
        <v>9783428174188</v>
      </c>
      <c r="D5089" t="str">
        <f>"9783428574186"</f>
        <v>9783428574186</v>
      </c>
      <c r="E5089" t="s">
        <v>4772</v>
      </c>
      <c r="F5089" s="1">
        <v>44705</v>
      </c>
    </row>
    <row r="5090" spans="1:6" x14ac:dyDescent="0.25">
      <c r="A5090">
        <v>7101341</v>
      </c>
      <c r="B5090" t="s">
        <v>5161</v>
      </c>
      <c r="C5090" t="str">
        <f>"9783428174195"</f>
        <v>9783428174195</v>
      </c>
      <c r="D5090" t="str">
        <f>"9783428574193"</f>
        <v>9783428574193</v>
      </c>
      <c r="E5090" t="s">
        <v>4772</v>
      </c>
      <c r="F5090" s="1">
        <v>44705</v>
      </c>
    </row>
    <row r="5091" spans="1:6" x14ac:dyDescent="0.25">
      <c r="A5091">
        <v>7101342</v>
      </c>
      <c r="B5091" t="s">
        <v>5162</v>
      </c>
      <c r="C5091" t="str">
        <f>"9783428174201"</f>
        <v>9783428174201</v>
      </c>
      <c r="D5091" t="str">
        <f>"9783428574209"</f>
        <v>9783428574209</v>
      </c>
      <c r="E5091" t="s">
        <v>4772</v>
      </c>
      <c r="F5091" s="1">
        <v>44705</v>
      </c>
    </row>
    <row r="5092" spans="1:6" x14ac:dyDescent="0.25">
      <c r="A5092">
        <v>7101343</v>
      </c>
      <c r="B5092" t="s">
        <v>5163</v>
      </c>
      <c r="C5092" t="str">
        <f>"9783428174218"</f>
        <v>9783428174218</v>
      </c>
      <c r="D5092" t="str">
        <f>"9783428574216"</f>
        <v>9783428574216</v>
      </c>
      <c r="E5092" t="s">
        <v>4772</v>
      </c>
      <c r="F5092" s="1">
        <v>44705</v>
      </c>
    </row>
    <row r="5093" spans="1:6" x14ac:dyDescent="0.25">
      <c r="A5093">
        <v>7101344</v>
      </c>
      <c r="B5093" t="s">
        <v>5164</v>
      </c>
      <c r="C5093" t="str">
        <f>"9783428174225"</f>
        <v>9783428174225</v>
      </c>
      <c r="D5093" t="str">
        <f>"9783428574223"</f>
        <v>9783428574223</v>
      </c>
      <c r="E5093" t="s">
        <v>4772</v>
      </c>
      <c r="F5093" s="1">
        <v>44727</v>
      </c>
    </row>
    <row r="5094" spans="1:6" x14ac:dyDescent="0.25">
      <c r="A5094">
        <v>7101345</v>
      </c>
      <c r="B5094" t="s">
        <v>5165</v>
      </c>
      <c r="C5094" t="str">
        <f>"9783428174232"</f>
        <v>9783428174232</v>
      </c>
      <c r="D5094" t="str">
        <f>"9783428574230"</f>
        <v>9783428574230</v>
      </c>
      <c r="E5094" t="s">
        <v>4772</v>
      </c>
      <c r="F5094" s="1">
        <v>44727</v>
      </c>
    </row>
    <row r="5095" spans="1:6" x14ac:dyDescent="0.25">
      <c r="A5095">
        <v>7101346</v>
      </c>
      <c r="B5095" t="s">
        <v>5166</v>
      </c>
      <c r="C5095" t="str">
        <f>"9783428174249"</f>
        <v>9783428174249</v>
      </c>
      <c r="D5095" t="str">
        <f>"9783428574247"</f>
        <v>9783428574247</v>
      </c>
      <c r="E5095" t="s">
        <v>4772</v>
      </c>
      <c r="F5095" s="1">
        <v>44727</v>
      </c>
    </row>
    <row r="5096" spans="1:6" x14ac:dyDescent="0.25">
      <c r="A5096">
        <v>7101347</v>
      </c>
      <c r="B5096" t="s">
        <v>5167</v>
      </c>
      <c r="C5096" t="str">
        <f>"9783428174256"</f>
        <v>9783428174256</v>
      </c>
      <c r="D5096" t="str">
        <f>"9783428574254"</f>
        <v>9783428574254</v>
      </c>
      <c r="E5096" t="s">
        <v>4772</v>
      </c>
      <c r="F5096" s="1">
        <v>44727</v>
      </c>
    </row>
    <row r="5097" spans="1:6" x14ac:dyDescent="0.25">
      <c r="A5097">
        <v>7101348</v>
      </c>
      <c r="B5097" t="s">
        <v>5168</v>
      </c>
      <c r="C5097" t="str">
        <f>"9783428174270"</f>
        <v>9783428174270</v>
      </c>
      <c r="D5097" t="str">
        <f>"9783428574278"</f>
        <v>9783428574278</v>
      </c>
      <c r="E5097" t="s">
        <v>4772</v>
      </c>
      <c r="F5097" s="1">
        <v>44727</v>
      </c>
    </row>
    <row r="5098" spans="1:6" x14ac:dyDescent="0.25">
      <c r="A5098">
        <v>7101349</v>
      </c>
      <c r="B5098" t="s">
        <v>5169</v>
      </c>
      <c r="C5098" t="str">
        <f>"9783428174287"</f>
        <v>9783428174287</v>
      </c>
      <c r="D5098" t="str">
        <f>"9783428574285"</f>
        <v>9783428574285</v>
      </c>
      <c r="E5098" t="s">
        <v>4772</v>
      </c>
      <c r="F5098" s="1">
        <v>44727</v>
      </c>
    </row>
    <row r="5099" spans="1:6" x14ac:dyDescent="0.25">
      <c r="A5099">
        <v>7101350</v>
      </c>
      <c r="B5099" t="s">
        <v>5170</v>
      </c>
      <c r="C5099" t="str">
        <f>"9783428174294"</f>
        <v>9783428174294</v>
      </c>
      <c r="D5099" t="str">
        <f>"9783428574292"</f>
        <v>9783428574292</v>
      </c>
      <c r="E5099" t="s">
        <v>4772</v>
      </c>
      <c r="F5099" s="1">
        <v>44727</v>
      </c>
    </row>
    <row r="5100" spans="1:6" x14ac:dyDescent="0.25">
      <c r="A5100">
        <v>7101351</v>
      </c>
      <c r="B5100" t="s">
        <v>5171</v>
      </c>
      <c r="C5100" t="str">
        <f>"9783428174300"</f>
        <v>9783428174300</v>
      </c>
      <c r="D5100" t="str">
        <f>"9783428574308"</f>
        <v>9783428574308</v>
      </c>
      <c r="E5100" t="s">
        <v>4772</v>
      </c>
      <c r="F5100" s="1">
        <v>44727</v>
      </c>
    </row>
    <row r="5101" spans="1:6" x14ac:dyDescent="0.25">
      <c r="A5101">
        <v>7101352</v>
      </c>
      <c r="B5101" t="s">
        <v>5172</v>
      </c>
      <c r="C5101" t="str">
        <f>"9783428174317"</f>
        <v>9783428174317</v>
      </c>
      <c r="D5101" t="str">
        <f>"9783428574315"</f>
        <v>9783428574315</v>
      </c>
      <c r="E5101" t="s">
        <v>4772</v>
      </c>
      <c r="F5101" s="1">
        <v>44727</v>
      </c>
    </row>
    <row r="5102" spans="1:6" x14ac:dyDescent="0.25">
      <c r="A5102">
        <v>7101353</v>
      </c>
      <c r="B5102" t="s">
        <v>5173</v>
      </c>
      <c r="C5102" t="str">
        <f>"9783428174324"</f>
        <v>9783428174324</v>
      </c>
      <c r="D5102" t="str">
        <f>"9783428574322"</f>
        <v>9783428574322</v>
      </c>
      <c r="E5102" t="s">
        <v>4772</v>
      </c>
      <c r="F5102" s="1">
        <v>44727</v>
      </c>
    </row>
    <row r="5103" spans="1:6" x14ac:dyDescent="0.25">
      <c r="A5103">
        <v>7101354</v>
      </c>
      <c r="B5103" t="s">
        <v>5174</v>
      </c>
      <c r="C5103" t="str">
        <f>"9783428174331"</f>
        <v>9783428174331</v>
      </c>
      <c r="D5103" t="str">
        <f>"9783428574339"</f>
        <v>9783428574339</v>
      </c>
      <c r="E5103" t="s">
        <v>4772</v>
      </c>
      <c r="F5103" s="1">
        <v>44727</v>
      </c>
    </row>
    <row r="5104" spans="1:6" x14ac:dyDescent="0.25">
      <c r="A5104">
        <v>7101355</v>
      </c>
      <c r="B5104" t="s">
        <v>5175</v>
      </c>
      <c r="C5104" t="str">
        <f>"9783428174348"</f>
        <v>9783428174348</v>
      </c>
      <c r="D5104" t="str">
        <f>"9783428574346"</f>
        <v>9783428574346</v>
      </c>
      <c r="E5104" t="s">
        <v>4772</v>
      </c>
      <c r="F5104" s="1">
        <v>44727</v>
      </c>
    </row>
    <row r="5105" spans="1:6" x14ac:dyDescent="0.25">
      <c r="A5105">
        <v>7101356</v>
      </c>
      <c r="B5105" t="s">
        <v>5176</v>
      </c>
      <c r="C5105" t="str">
        <f>"9783428174355"</f>
        <v>9783428174355</v>
      </c>
      <c r="D5105" t="str">
        <f>"9783428574353"</f>
        <v>9783428574353</v>
      </c>
      <c r="E5105" t="s">
        <v>4772</v>
      </c>
      <c r="F5105" s="1">
        <v>44727</v>
      </c>
    </row>
    <row r="5106" spans="1:6" x14ac:dyDescent="0.25">
      <c r="A5106">
        <v>7101357</v>
      </c>
      <c r="B5106" t="s">
        <v>5177</v>
      </c>
      <c r="C5106" t="str">
        <f>"9783428174362"</f>
        <v>9783428174362</v>
      </c>
      <c r="D5106" t="str">
        <f>"9783428574360"</f>
        <v>9783428574360</v>
      </c>
      <c r="E5106" t="s">
        <v>4772</v>
      </c>
      <c r="F5106" s="1">
        <v>44727</v>
      </c>
    </row>
    <row r="5107" spans="1:6" x14ac:dyDescent="0.25">
      <c r="A5107">
        <v>7101358</v>
      </c>
      <c r="B5107" t="s">
        <v>5178</v>
      </c>
      <c r="C5107" t="str">
        <f>"9783428174379"</f>
        <v>9783428174379</v>
      </c>
      <c r="D5107" t="str">
        <f>"9783428574377"</f>
        <v>9783428574377</v>
      </c>
      <c r="E5107" t="s">
        <v>4772</v>
      </c>
      <c r="F5107" s="1">
        <v>44727</v>
      </c>
    </row>
    <row r="5108" spans="1:6" x14ac:dyDescent="0.25">
      <c r="A5108">
        <v>7101359</v>
      </c>
      <c r="B5108" t="s">
        <v>5179</v>
      </c>
      <c r="C5108" t="str">
        <f>"9783428174386"</f>
        <v>9783428174386</v>
      </c>
      <c r="D5108" t="str">
        <f>"9783428574384"</f>
        <v>9783428574384</v>
      </c>
      <c r="E5108" t="s">
        <v>4772</v>
      </c>
      <c r="F5108" s="1">
        <v>44727</v>
      </c>
    </row>
    <row r="5109" spans="1:6" x14ac:dyDescent="0.25">
      <c r="A5109">
        <v>7101360</v>
      </c>
      <c r="B5109" t="s">
        <v>5180</v>
      </c>
      <c r="C5109" t="str">
        <f>"9783428174393"</f>
        <v>9783428174393</v>
      </c>
      <c r="D5109" t="str">
        <f>"9783428574391"</f>
        <v>9783428574391</v>
      </c>
      <c r="E5109" t="s">
        <v>4772</v>
      </c>
      <c r="F5109" s="1">
        <v>44751</v>
      </c>
    </row>
    <row r="5110" spans="1:6" x14ac:dyDescent="0.25">
      <c r="A5110">
        <v>7101361</v>
      </c>
      <c r="B5110" t="s">
        <v>5181</v>
      </c>
      <c r="C5110" t="str">
        <f>"9783428174409"</f>
        <v>9783428174409</v>
      </c>
      <c r="D5110" t="str">
        <f>"9783428574407"</f>
        <v>9783428574407</v>
      </c>
      <c r="E5110" t="s">
        <v>4772</v>
      </c>
      <c r="F5110" s="1">
        <v>44751</v>
      </c>
    </row>
    <row r="5111" spans="1:6" x14ac:dyDescent="0.25">
      <c r="A5111">
        <v>7101362</v>
      </c>
      <c r="B5111" t="s">
        <v>5182</v>
      </c>
      <c r="C5111" t="str">
        <f>"9783428174416"</f>
        <v>9783428174416</v>
      </c>
      <c r="D5111" t="str">
        <f>"9783428574414"</f>
        <v>9783428574414</v>
      </c>
      <c r="E5111" t="s">
        <v>4772</v>
      </c>
      <c r="F5111" s="1">
        <v>44751</v>
      </c>
    </row>
    <row r="5112" spans="1:6" x14ac:dyDescent="0.25">
      <c r="A5112">
        <v>7101363</v>
      </c>
      <c r="B5112" t="s">
        <v>5183</v>
      </c>
      <c r="C5112" t="str">
        <f>"9783428174423"</f>
        <v>9783428174423</v>
      </c>
      <c r="D5112" t="str">
        <f>"9783428574421"</f>
        <v>9783428574421</v>
      </c>
      <c r="E5112" t="s">
        <v>4772</v>
      </c>
      <c r="F5112" s="1">
        <v>44751</v>
      </c>
    </row>
    <row r="5113" spans="1:6" x14ac:dyDescent="0.25">
      <c r="A5113">
        <v>7101364</v>
      </c>
      <c r="B5113" t="s">
        <v>5184</v>
      </c>
      <c r="C5113" t="str">
        <f>"9783428174430"</f>
        <v>9783428174430</v>
      </c>
      <c r="D5113" t="str">
        <f>"9783428574438"</f>
        <v>9783428574438</v>
      </c>
      <c r="E5113" t="s">
        <v>4772</v>
      </c>
      <c r="F5113" s="1">
        <v>44751</v>
      </c>
    </row>
    <row r="5114" spans="1:6" x14ac:dyDescent="0.25">
      <c r="A5114">
        <v>7101365</v>
      </c>
      <c r="B5114" t="s">
        <v>5185</v>
      </c>
      <c r="C5114" t="str">
        <f>"9783428174447"</f>
        <v>9783428174447</v>
      </c>
      <c r="D5114" t="str">
        <f>"9783428574445"</f>
        <v>9783428574445</v>
      </c>
      <c r="E5114" t="s">
        <v>4772</v>
      </c>
      <c r="F5114" s="1">
        <v>44751</v>
      </c>
    </row>
    <row r="5115" spans="1:6" x14ac:dyDescent="0.25">
      <c r="A5115">
        <v>7101366</v>
      </c>
      <c r="B5115" t="s">
        <v>5186</v>
      </c>
      <c r="C5115" t="str">
        <f>"9783428174454"</f>
        <v>9783428174454</v>
      </c>
      <c r="D5115" t="str">
        <f>"9783428574452"</f>
        <v>9783428574452</v>
      </c>
      <c r="E5115" t="s">
        <v>4772</v>
      </c>
      <c r="F5115" s="1">
        <v>44751</v>
      </c>
    </row>
    <row r="5116" spans="1:6" x14ac:dyDescent="0.25">
      <c r="A5116">
        <v>7101367</v>
      </c>
      <c r="B5116" t="s">
        <v>5187</v>
      </c>
      <c r="C5116" t="str">
        <f>"9783428174461"</f>
        <v>9783428174461</v>
      </c>
      <c r="D5116" t="str">
        <f>"9783428574469"</f>
        <v>9783428574469</v>
      </c>
      <c r="E5116" t="s">
        <v>4772</v>
      </c>
      <c r="F5116" s="1">
        <v>44751</v>
      </c>
    </row>
    <row r="5117" spans="1:6" x14ac:dyDescent="0.25">
      <c r="A5117">
        <v>7101368</v>
      </c>
      <c r="B5117" t="s">
        <v>5188</v>
      </c>
      <c r="C5117" t="str">
        <f>"9783428174478"</f>
        <v>9783428174478</v>
      </c>
      <c r="D5117" t="str">
        <f>"9783428574476"</f>
        <v>9783428574476</v>
      </c>
      <c r="E5117" t="s">
        <v>4772</v>
      </c>
      <c r="F5117" s="1">
        <v>44755</v>
      </c>
    </row>
    <row r="5118" spans="1:6" x14ac:dyDescent="0.25">
      <c r="A5118">
        <v>7101369</v>
      </c>
      <c r="B5118" t="s">
        <v>5189</v>
      </c>
      <c r="C5118" t="str">
        <f>"9783428174485"</f>
        <v>9783428174485</v>
      </c>
      <c r="D5118" t="str">
        <f>"9783428574483"</f>
        <v>9783428574483</v>
      </c>
      <c r="E5118" t="s">
        <v>4772</v>
      </c>
      <c r="F5118" s="1">
        <v>44751</v>
      </c>
    </row>
    <row r="5119" spans="1:6" x14ac:dyDescent="0.25">
      <c r="A5119">
        <v>7101370</v>
      </c>
      <c r="B5119" t="s">
        <v>5190</v>
      </c>
      <c r="C5119" t="str">
        <f>"9783428174522"</f>
        <v>9783428174522</v>
      </c>
      <c r="D5119" t="str">
        <f>"9783428574520"</f>
        <v>9783428574520</v>
      </c>
      <c r="E5119" t="s">
        <v>4772</v>
      </c>
      <c r="F5119" s="1">
        <v>44751</v>
      </c>
    </row>
    <row r="5120" spans="1:6" x14ac:dyDescent="0.25">
      <c r="A5120">
        <v>7101371</v>
      </c>
      <c r="B5120" t="s">
        <v>5191</v>
      </c>
      <c r="C5120" t="str">
        <f>"9783428174492"</f>
        <v>9783428174492</v>
      </c>
      <c r="D5120" t="str">
        <f>"9783428574490"</f>
        <v>9783428574490</v>
      </c>
      <c r="E5120" t="s">
        <v>4772</v>
      </c>
      <c r="F5120" s="1">
        <v>44751</v>
      </c>
    </row>
    <row r="5121" spans="1:6" x14ac:dyDescent="0.25">
      <c r="A5121">
        <v>7101372</v>
      </c>
      <c r="B5121" t="s">
        <v>5192</v>
      </c>
      <c r="C5121" t="str">
        <f>"9783428174539"</f>
        <v>9783428174539</v>
      </c>
      <c r="D5121" t="str">
        <f>"9783428574537"</f>
        <v>9783428574537</v>
      </c>
      <c r="E5121" t="s">
        <v>4772</v>
      </c>
      <c r="F5121" s="1">
        <v>44751</v>
      </c>
    </row>
    <row r="5122" spans="1:6" x14ac:dyDescent="0.25">
      <c r="A5122">
        <v>7101373</v>
      </c>
      <c r="B5122" t="s">
        <v>5193</v>
      </c>
      <c r="C5122" t="str">
        <f>"9783428174546"</f>
        <v>9783428174546</v>
      </c>
      <c r="D5122" t="str">
        <f>"9783428574544"</f>
        <v>9783428574544</v>
      </c>
      <c r="E5122" t="s">
        <v>4772</v>
      </c>
      <c r="F5122" s="1">
        <v>44751</v>
      </c>
    </row>
    <row r="5123" spans="1:6" x14ac:dyDescent="0.25">
      <c r="A5123">
        <v>7101374</v>
      </c>
      <c r="B5123" t="s">
        <v>5194</v>
      </c>
      <c r="C5123" t="str">
        <f>"9783428174553"</f>
        <v>9783428174553</v>
      </c>
      <c r="D5123" t="str">
        <f>"9783428574551"</f>
        <v>9783428574551</v>
      </c>
      <c r="E5123" t="s">
        <v>4772</v>
      </c>
      <c r="F5123" s="1">
        <v>44751</v>
      </c>
    </row>
    <row r="5124" spans="1:6" x14ac:dyDescent="0.25">
      <c r="A5124">
        <v>7101375</v>
      </c>
      <c r="B5124" t="s">
        <v>5195</v>
      </c>
      <c r="C5124" t="str">
        <f>"9783428174560"</f>
        <v>9783428174560</v>
      </c>
      <c r="D5124" t="str">
        <f>"9783428574568"</f>
        <v>9783428574568</v>
      </c>
      <c r="E5124" t="s">
        <v>4772</v>
      </c>
      <c r="F5124" s="1">
        <v>44751</v>
      </c>
    </row>
    <row r="5125" spans="1:6" x14ac:dyDescent="0.25">
      <c r="A5125">
        <v>7101376</v>
      </c>
      <c r="B5125" t="s">
        <v>5196</v>
      </c>
      <c r="C5125" t="str">
        <f>"9783428174584"</f>
        <v>9783428174584</v>
      </c>
      <c r="D5125" t="str">
        <f>"9783428574582"</f>
        <v>9783428574582</v>
      </c>
      <c r="E5125" t="s">
        <v>4772</v>
      </c>
      <c r="F5125" s="1">
        <v>44751</v>
      </c>
    </row>
    <row r="5126" spans="1:6" x14ac:dyDescent="0.25">
      <c r="A5126">
        <v>7101377</v>
      </c>
      <c r="B5126" t="s">
        <v>5197</v>
      </c>
      <c r="C5126" t="str">
        <f>"9783428174577"</f>
        <v>9783428174577</v>
      </c>
      <c r="D5126" t="str">
        <f>"9783428574575"</f>
        <v>9783428574575</v>
      </c>
      <c r="E5126" t="s">
        <v>4772</v>
      </c>
      <c r="F5126" s="1">
        <v>44751</v>
      </c>
    </row>
    <row r="5127" spans="1:6" x14ac:dyDescent="0.25">
      <c r="A5127">
        <v>7101378</v>
      </c>
      <c r="B5127" t="s">
        <v>5198</v>
      </c>
      <c r="C5127" t="str">
        <f>"9783428174591"</f>
        <v>9783428174591</v>
      </c>
      <c r="D5127" t="str">
        <f>"9783428574599"</f>
        <v>9783428574599</v>
      </c>
      <c r="E5127" t="s">
        <v>4772</v>
      </c>
      <c r="F5127" s="1">
        <v>44751</v>
      </c>
    </row>
    <row r="5128" spans="1:6" x14ac:dyDescent="0.25">
      <c r="A5128">
        <v>7101379</v>
      </c>
      <c r="B5128" t="s">
        <v>5199</v>
      </c>
      <c r="C5128" t="str">
        <f>"9783428174607"</f>
        <v>9783428174607</v>
      </c>
      <c r="D5128" t="str">
        <f>"9783428574605"</f>
        <v>9783428574605</v>
      </c>
      <c r="E5128" t="s">
        <v>4772</v>
      </c>
      <c r="F5128" s="1">
        <v>44751</v>
      </c>
    </row>
    <row r="5129" spans="1:6" x14ac:dyDescent="0.25">
      <c r="A5129">
        <v>7101380</v>
      </c>
      <c r="B5129" t="s">
        <v>5200</v>
      </c>
      <c r="C5129" t="str">
        <f>"9783428174614"</f>
        <v>9783428174614</v>
      </c>
      <c r="D5129" t="str">
        <f>"9783428574612"</f>
        <v>9783428574612</v>
      </c>
      <c r="E5129" t="s">
        <v>4772</v>
      </c>
      <c r="F5129" s="1">
        <v>44751</v>
      </c>
    </row>
    <row r="5130" spans="1:6" x14ac:dyDescent="0.25">
      <c r="A5130">
        <v>7101381</v>
      </c>
      <c r="B5130" t="s">
        <v>5201</v>
      </c>
      <c r="C5130" t="str">
        <f>"9783428174621"</f>
        <v>9783428174621</v>
      </c>
      <c r="D5130" t="str">
        <f>"9783428574629"</f>
        <v>9783428574629</v>
      </c>
      <c r="E5130" t="s">
        <v>4772</v>
      </c>
      <c r="F5130" s="1">
        <v>44751</v>
      </c>
    </row>
    <row r="5131" spans="1:6" x14ac:dyDescent="0.25">
      <c r="A5131">
        <v>7101382</v>
      </c>
      <c r="B5131" t="s">
        <v>5202</v>
      </c>
      <c r="C5131" t="str">
        <f>"9783428174638"</f>
        <v>9783428174638</v>
      </c>
      <c r="D5131" t="str">
        <f>"9783428574636"</f>
        <v>9783428574636</v>
      </c>
      <c r="E5131" t="s">
        <v>4772</v>
      </c>
      <c r="F5131" s="1">
        <v>44757</v>
      </c>
    </row>
    <row r="5132" spans="1:6" x14ac:dyDescent="0.25">
      <c r="A5132">
        <v>7101383</v>
      </c>
      <c r="B5132" t="s">
        <v>5203</v>
      </c>
      <c r="C5132" t="str">
        <f>"9783428174645"</f>
        <v>9783428174645</v>
      </c>
      <c r="D5132" t="str">
        <f>"9783428574643"</f>
        <v>9783428574643</v>
      </c>
      <c r="E5132" t="s">
        <v>4772</v>
      </c>
      <c r="F5132" s="1">
        <v>44757</v>
      </c>
    </row>
    <row r="5133" spans="1:6" x14ac:dyDescent="0.25">
      <c r="A5133">
        <v>7101384</v>
      </c>
      <c r="B5133" t="s">
        <v>5204</v>
      </c>
      <c r="C5133" t="str">
        <f>"9783428174652"</f>
        <v>9783428174652</v>
      </c>
      <c r="D5133" t="str">
        <f>"9783428574650"</f>
        <v>9783428574650</v>
      </c>
      <c r="E5133" t="s">
        <v>4772</v>
      </c>
      <c r="F5133" s="1">
        <v>44757</v>
      </c>
    </row>
    <row r="5134" spans="1:6" x14ac:dyDescent="0.25">
      <c r="A5134">
        <v>7101385</v>
      </c>
      <c r="B5134" t="s">
        <v>5205</v>
      </c>
      <c r="C5134" t="str">
        <f>"9783428174669"</f>
        <v>9783428174669</v>
      </c>
      <c r="D5134" t="str">
        <f>"9783428574667"</f>
        <v>9783428574667</v>
      </c>
      <c r="E5134" t="s">
        <v>4772</v>
      </c>
      <c r="F5134" s="1">
        <v>44757</v>
      </c>
    </row>
    <row r="5135" spans="1:6" x14ac:dyDescent="0.25">
      <c r="A5135">
        <v>7101386</v>
      </c>
      <c r="B5135" t="s">
        <v>5206</v>
      </c>
      <c r="C5135" t="str">
        <f>"9783428174683"</f>
        <v>9783428174683</v>
      </c>
      <c r="D5135" t="str">
        <f>"9783428574681"</f>
        <v>9783428574681</v>
      </c>
      <c r="E5135" t="s">
        <v>4772</v>
      </c>
      <c r="F5135" s="1">
        <v>44758</v>
      </c>
    </row>
    <row r="5136" spans="1:6" x14ac:dyDescent="0.25">
      <c r="A5136">
        <v>7101387</v>
      </c>
      <c r="B5136" t="s">
        <v>5207</v>
      </c>
      <c r="C5136" t="str">
        <f>"9783428174676"</f>
        <v>9783428174676</v>
      </c>
      <c r="D5136" t="str">
        <f>"9783428574674"</f>
        <v>9783428574674</v>
      </c>
      <c r="E5136" t="s">
        <v>4772</v>
      </c>
      <c r="F5136" s="1">
        <v>44802</v>
      </c>
    </row>
    <row r="5137" spans="1:6" x14ac:dyDescent="0.25">
      <c r="A5137">
        <v>7101388</v>
      </c>
      <c r="B5137" t="s">
        <v>5208</v>
      </c>
      <c r="C5137" t="str">
        <f>"9783428174690"</f>
        <v>9783428174690</v>
      </c>
      <c r="D5137" t="str">
        <f>"9783428574698"</f>
        <v>9783428574698</v>
      </c>
      <c r="E5137" t="s">
        <v>4772</v>
      </c>
      <c r="F5137" s="1">
        <v>44758</v>
      </c>
    </row>
    <row r="5138" spans="1:6" x14ac:dyDescent="0.25">
      <c r="A5138">
        <v>7101389</v>
      </c>
      <c r="B5138" t="s">
        <v>5209</v>
      </c>
      <c r="C5138" t="str">
        <f>"9783428174706"</f>
        <v>9783428174706</v>
      </c>
      <c r="D5138" t="str">
        <f>"9783428574704"</f>
        <v>9783428574704</v>
      </c>
      <c r="E5138" t="s">
        <v>4772</v>
      </c>
      <c r="F5138" s="1">
        <v>44758</v>
      </c>
    </row>
    <row r="5139" spans="1:6" x14ac:dyDescent="0.25">
      <c r="A5139">
        <v>7101390</v>
      </c>
      <c r="B5139" t="s">
        <v>5210</v>
      </c>
      <c r="C5139" t="str">
        <f>"9783428174713"</f>
        <v>9783428174713</v>
      </c>
      <c r="D5139" t="str">
        <f>"9783428574711"</f>
        <v>9783428574711</v>
      </c>
      <c r="E5139" t="s">
        <v>4772</v>
      </c>
      <c r="F5139" s="1">
        <v>44758</v>
      </c>
    </row>
    <row r="5140" spans="1:6" x14ac:dyDescent="0.25">
      <c r="A5140">
        <v>7101391</v>
      </c>
      <c r="B5140" t="s">
        <v>5211</v>
      </c>
      <c r="C5140" t="str">
        <f>"9783428174737"</f>
        <v>9783428174737</v>
      </c>
      <c r="D5140" t="str">
        <f>"9783428574735"</f>
        <v>9783428574735</v>
      </c>
      <c r="E5140" t="s">
        <v>4772</v>
      </c>
      <c r="F5140" s="1">
        <v>44758</v>
      </c>
    </row>
    <row r="5141" spans="1:6" x14ac:dyDescent="0.25">
      <c r="A5141">
        <v>7101392</v>
      </c>
      <c r="B5141" t="s">
        <v>5212</v>
      </c>
      <c r="C5141" t="str">
        <f>"9783428174720"</f>
        <v>9783428174720</v>
      </c>
      <c r="D5141" t="str">
        <f>"9783428574728"</f>
        <v>9783428574728</v>
      </c>
      <c r="E5141" t="s">
        <v>4772</v>
      </c>
      <c r="F5141" s="1">
        <v>44758</v>
      </c>
    </row>
    <row r="5142" spans="1:6" x14ac:dyDescent="0.25">
      <c r="A5142">
        <v>7101393</v>
      </c>
      <c r="B5142" t="s">
        <v>5213</v>
      </c>
      <c r="C5142" t="str">
        <f>"9783428174782"</f>
        <v>9783428174782</v>
      </c>
      <c r="D5142" t="str">
        <f>"9783428574780"</f>
        <v>9783428574780</v>
      </c>
      <c r="E5142" t="s">
        <v>4772</v>
      </c>
      <c r="F5142" s="1">
        <v>44758</v>
      </c>
    </row>
    <row r="5143" spans="1:6" x14ac:dyDescent="0.25">
      <c r="A5143">
        <v>7101394</v>
      </c>
      <c r="B5143" t="s">
        <v>5214</v>
      </c>
      <c r="C5143" t="str">
        <f>"9783428174799"</f>
        <v>9783428174799</v>
      </c>
      <c r="D5143" t="str">
        <f>"9783428574797"</f>
        <v>9783428574797</v>
      </c>
      <c r="E5143" t="s">
        <v>4772</v>
      </c>
      <c r="F5143" s="1">
        <v>44758</v>
      </c>
    </row>
    <row r="5144" spans="1:6" x14ac:dyDescent="0.25">
      <c r="A5144">
        <v>7101395</v>
      </c>
      <c r="B5144" t="s">
        <v>5215</v>
      </c>
      <c r="C5144" t="str">
        <f>"9783428174805"</f>
        <v>9783428174805</v>
      </c>
      <c r="D5144" t="str">
        <f>"9783428574803"</f>
        <v>9783428574803</v>
      </c>
      <c r="E5144" t="s">
        <v>4772</v>
      </c>
      <c r="F5144" s="1">
        <v>44757</v>
      </c>
    </row>
    <row r="5145" spans="1:6" x14ac:dyDescent="0.25">
      <c r="A5145">
        <v>7101396</v>
      </c>
      <c r="B5145" t="s">
        <v>5216</v>
      </c>
      <c r="C5145" t="str">
        <f>"9783428174812"</f>
        <v>9783428174812</v>
      </c>
      <c r="D5145" t="str">
        <f>"9783428574810"</f>
        <v>9783428574810</v>
      </c>
      <c r="E5145" t="s">
        <v>4772</v>
      </c>
      <c r="F5145" s="1">
        <v>44757</v>
      </c>
    </row>
    <row r="5146" spans="1:6" x14ac:dyDescent="0.25">
      <c r="A5146">
        <v>7101397</v>
      </c>
      <c r="B5146" t="s">
        <v>5217</v>
      </c>
      <c r="C5146" t="str">
        <f>"9783428174829"</f>
        <v>9783428174829</v>
      </c>
      <c r="D5146" t="str">
        <f>"9783428574827"</f>
        <v>9783428574827</v>
      </c>
      <c r="E5146" t="s">
        <v>4772</v>
      </c>
      <c r="F5146" s="1">
        <v>44757</v>
      </c>
    </row>
    <row r="5147" spans="1:6" x14ac:dyDescent="0.25">
      <c r="A5147">
        <v>7101398</v>
      </c>
      <c r="B5147" t="s">
        <v>5218</v>
      </c>
      <c r="C5147" t="str">
        <f>"9783428174836"</f>
        <v>9783428174836</v>
      </c>
      <c r="D5147" t="str">
        <f>"9783428574834"</f>
        <v>9783428574834</v>
      </c>
      <c r="E5147" t="s">
        <v>4772</v>
      </c>
      <c r="F5147" s="1">
        <v>44757</v>
      </c>
    </row>
    <row r="5148" spans="1:6" x14ac:dyDescent="0.25">
      <c r="A5148">
        <v>7101399</v>
      </c>
      <c r="B5148" t="s">
        <v>5219</v>
      </c>
      <c r="C5148" t="str">
        <f>"9783428174874"</f>
        <v>9783428174874</v>
      </c>
      <c r="D5148" t="str">
        <f>"9783428574872"</f>
        <v>9783428574872</v>
      </c>
      <c r="E5148" t="s">
        <v>4772</v>
      </c>
      <c r="F5148" s="1">
        <v>44757</v>
      </c>
    </row>
    <row r="5149" spans="1:6" x14ac:dyDescent="0.25">
      <c r="A5149">
        <v>7101400</v>
      </c>
      <c r="B5149" t="s">
        <v>5220</v>
      </c>
      <c r="C5149" t="str">
        <f>"9783428174850"</f>
        <v>9783428174850</v>
      </c>
      <c r="D5149" t="str">
        <f>"9783428574858"</f>
        <v>9783428574858</v>
      </c>
      <c r="E5149" t="s">
        <v>4772</v>
      </c>
      <c r="F5149" s="1">
        <v>44757</v>
      </c>
    </row>
    <row r="5150" spans="1:6" x14ac:dyDescent="0.25">
      <c r="A5150">
        <v>7101401</v>
      </c>
      <c r="B5150" t="s">
        <v>5221</v>
      </c>
      <c r="C5150" t="str">
        <f>"9783428174898"</f>
        <v>9783428174898</v>
      </c>
      <c r="D5150" t="str">
        <f>"9783428574896"</f>
        <v>9783428574896</v>
      </c>
      <c r="E5150" t="s">
        <v>4772</v>
      </c>
      <c r="F5150" s="1">
        <v>44769</v>
      </c>
    </row>
    <row r="5151" spans="1:6" x14ac:dyDescent="0.25">
      <c r="A5151">
        <v>7101402</v>
      </c>
      <c r="B5151" t="s">
        <v>5222</v>
      </c>
      <c r="C5151" t="str">
        <f>"9783428174881"</f>
        <v>9783428174881</v>
      </c>
      <c r="D5151" t="str">
        <f>"9783428574889"</f>
        <v>9783428574889</v>
      </c>
      <c r="E5151" t="s">
        <v>4772</v>
      </c>
      <c r="F5151" s="1">
        <v>44757</v>
      </c>
    </row>
    <row r="5152" spans="1:6" x14ac:dyDescent="0.25">
      <c r="A5152">
        <v>7101403</v>
      </c>
      <c r="B5152" t="s">
        <v>5223</v>
      </c>
      <c r="C5152" t="str">
        <f>"9783428174904"</f>
        <v>9783428174904</v>
      </c>
      <c r="D5152" t="str">
        <f>"9783428574902"</f>
        <v>9783428574902</v>
      </c>
      <c r="E5152" t="s">
        <v>4772</v>
      </c>
      <c r="F5152" s="1">
        <v>44757</v>
      </c>
    </row>
    <row r="5153" spans="1:6" x14ac:dyDescent="0.25">
      <c r="A5153">
        <v>7101404</v>
      </c>
      <c r="B5153" t="s">
        <v>5224</v>
      </c>
      <c r="C5153" t="str">
        <f>"9783428174911"</f>
        <v>9783428174911</v>
      </c>
      <c r="D5153" t="str">
        <f>"9783428574919"</f>
        <v>9783428574919</v>
      </c>
      <c r="E5153" t="s">
        <v>4772</v>
      </c>
      <c r="F5153" s="1">
        <v>44757</v>
      </c>
    </row>
    <row r="5154" spans="1:6" x14ac:dyDescent="0.25">
      <c r="A5154">
        <v>7101405</v>
      </c>
      <c r="B5154" t="s">
        <v>5225</v>
      </c>
      <c r="C5154" t="str">
        <f>"9783428174935"</f>
        <v>9783428174935</v>
      </c>
      <c r="D5154" t="str">
        <f>"9783428574933"</f>
        <v>9783428574933</v>
      </c>
      <c r="E5154" t="s">
        <v>4772</v>
      </c>
      <c r="F5154" s="1">
        <v>44769</v>
      </c>
    </row>
    <row r="5155" spans="1:6" x14ac:dyDescent="0.25">
      <c r="A5155">
        <v>7101406</v>
      </c>
      <c r="B5155" t="s">
        <v>5226</v>
      </c>
      <c r="C5155" t="str">
        <f>"9783428174959"</f>
        <v>9783428174959</v>
      </c>
      <c r="D5155" t="str">
        <f>"9783428574957"</f>
        <v>9783428574957</v>
      </c>
      <c r="E5155" t="s">
        <v>4772</v>
      </c>
      <c r="F5155" s="1">
        <v>44769</v>
      </c>
    </row>
    <row r="5156" spans="1:6" x14ac:dyDescent="0.25">
      <c r="A5156">
        <v>7101407</v>
      </c>
      <c r="B5156" t="s">
        <v>5227</v>
      </c>
      <c r="C5156" t="str">
        <f>"9783428174966"</f>
        <v>9783428174966</v>
      </c>
      <c r="D5156" t="str">
        <f>"9783428574964"</f>
        <v>9783428574964</v>
      </c>
      <c r="E5156" t="s">
        <v>4772</v>
      </c>
      <c r="F5156" s="1">
        <v>44757</v>
      </c>
    </row>
    <row r="5157" spans="1:6" x14ac:dyDescent="0.25">
      <c r="A5157">
        <v>7101408</v>
      </c>
      <c r="B5157" t="s">
        <v>5228</v>
      </c>
      <c r="C5157" t="str">
        <f>"9783428174973"</f>
        <v>9783428174973</v>
      </c>
      <c r="D5157" t="str">
        <f>"9783428574971"</f>
        <v>9783428574971</v>
      </c>
      <c r="E5157" t="s">
        <v>4772</v>
      </c>
      <c r="F5157" s="1">
        <v>44757</v>
      </c>
    </row>
    <row r="5158" spans="1:6" x14ac:dyDescent="0.25">
      <c r="A5158">
        <v>7101409</v>
      </c>
      <c r="B5158" t="s">
        <v>5229</v>
      </c>
      <c r="C5158" t="str">
        <f>"9783428174980"</f>
        <v>9783428174980</v>
      </c>
      <c r="D5158" t="str">
        <f>"9783428574988"</f>
        <v>9783428574988</v>
      </c>
      <c r="E5158" t="s">
        <v>4772</v>
      </c>
      <c r="F5158" s="1">
        <v>44758</v>
      </c>
    </row>
    <row r="5159" spans="1:6" x14ac:dyDescent="0.25">
      <c r="A5159">
        <v>7101410</v>
      </c>
      <c r="B5159" t="s">
        <v>5230</v>
      </c>
      <c r="C5159" t="str">
        <f>"9783428174997"</f>
        <v>9783428174997</v>
      </c>
      <c r="D5159" t="str">
        <f>"9783428574995"</f>
        <v>9783428574995</v>
      </c>
      <c r="E5159" t="s">
        <v>4772</v>
      </c>
      <c r="F5159" s="1">
        <v>44757</v>
      </c>
    </row>
    <row r="5160" spans="1:6" x14ac:dyDescent="0.25">
      <c r="A5160">
        <v>7101411</v>
      </c>
      <c r="B5160" t="s">
        <v>5231</v>
      </c>
      <c r="C5160" t="str">
        <f>"9783428175000"</f>
        <v>9783428175000</v>
      </c>
      <c r="D5160" t="str">
        <f>"9783428575008"</f>
        <v>9783428575008</v>
      </c>
      <c r="E5160" t="s">
        <v>4772</v>
      </c>
      <c r="F5160" s="1">
        <v>44758</v>
      </c>
    </row>
    <row r="5161" spans="1:6" x14ac:dyDescent="0.25">
      <c r="A5161">
        <v>7101412</v>
      </c>
      <c r="B5161" t="s">
        <v>5232</v>
      </c>
      <c r="C5161" t="str">
        <f>"9783428175017"</f>
        <v>9783428175017</v>
      </c>
      <c r="D5161" t="str">
        <f>"9783428575015"</f>
        <v>9783428575015</v>
      </c>
      <c r="E5161" t="s">
        <v>4772</v>
      </c>
      <c r="F5161" s="1">
        <v>44758</v>
      </c>
    </row>
    <row r="5162" spans="1:6" x14ac:dyDescent="0.25">
      <c r="A5162">
        <v>7101413</v>
      </c>
      <c r="B5162" t="s">
        <v>5233</v>
      </c>
      <c r="C5162" t="str">
        <f>"9783428175024"</f>
        <v>9783428175024</v>
      </c>
      <c r="D5162" t="str">
        <f>"9783428575022"</f>
        <v>9783428575022</v>
      </c>
      <c r="E5162" t="s">
        <v>4772</v>
      </c>
      <c r="F5162" s="1">
        <v>44758</v>
      </c>
    </row>
    <row r="5163" spans="1:6" x14ac:dyDescent="0.25">
      <c r="A5163">
        <v>7101414</v>
      </c>
      <c r="B5163" t="s">
        <v>5234</v>
      </c>
      <c r="C5163" t="str">
        <f>"9783428175031"</f>
        <v>9783428175031</v>
      </c>
      <c r="D5163" t="str">
        <f>"9783428575039"</f>
        <v>9783428575039</v>
      </c>
      <c r="E5163" t="s">
        <v>4772</v>
      </c>
      <c r="F5163" s="1">
        <v>44758</v>
      </c>
    </row>
    <row r="5164" spans="1:6" x14ac:dyDescent="0.25">
      <c r="A5164">
        <v>7101415</v>
      </c>
      <c r="B5164" t="s">
        <v>5235</v>
      </c>
      <c r="C5164" t="str">
        <f>"9783428175048"</f>
        <v>9783428175048</v>
      </c>
      <c r="D5164" t="str">
        <f>"9783428575046"</f>
        <v>9783428575046</v>
      </c>
      <c r="E5164" t="s">
        <v>4772</v>
      </c>
      <c r="F5164" s="1">
        <v>44758</v>
      </c>
    </row>
    <row r="5165" spans="1:6" x14ac:dyDescent="0.25">
      <c r="A5165">
        <v>7101416</v>
      </c>
      <c r="B5165" t="s">
        <v>5236</v>
      </c>
      <c r="C5165" t="str">
        <f>"9783428175055"</f>
        <v>9783428175055</v>
      </c>
      <c r="D5165" t="str">
        <f>"9783428575053"</f>
        <v>9783428575053</v>
      </c>
      <c r="E5165" t="s">
        <v>4772</v>
      </c>
      <c r="F5165" s="1">
        <v>44769</v>
      </c>
    </row>
    <row r="5166" spans="1:6" x14ac:dyDescent="0.25">
      <c r="A5166">
        <v>7101417</v>
      </c>
      <c r="B5166" t="s">
        <v>5237</v>
      </c>
      <c r="C5166" t="str">
        <f>"9783428175062"</f>
        <v>9783428175062</v>
      </c>
      <c r="D5166" t="str">
        <f>"9783428575060"</f>
        <v>9783428575060</v>
      </c>
      <c r="E5166" t="s">
        <v>4772</v>
      </c>
      <c r="F5166" s="1">
        <v>44769</v>
      </c>
    </row>
    <row r="5167" spans="1:6" x14ac:dyDescent="0.25">
      <c r="A5167">
        <v>7101418</v>
      </c>
      <c r="B5167" t="s">
        <v>5238</v>
      </c>
      <c r="C5167" t="str">
        <f>"9783428175079"</f>
        <v>9783428175079</v>
      </c>
      <c r="D5167" t="str">
        <f>"9783428575077"</f>
        <v>9783428575077</v>
      </c>
      <c r="E5167" t="s">
        <v>4772</v>
      </c>
      <c r="F5167" s="1">
        <v>44769</v>
      </c>
    </row>
    <row r="5168" spans="1:6" x14ac:dyDescent="0.25">
      <c r="A5168">
        <v>7101419</v>
      </c>
      <c r="B5168" t="s">
        <v>5239</v>
      </c>
      <c r="C5168" t="str">
        <f>"9783428175086"</f>
        <v>9783428175086</v>
      </c>
      <c r="D5168" t="str">
        <f>"9783428575084"</f>
        <v>9783428575084</v>
      </c>
      <c r="E5168" t="s">
        <v>4772</v>
      </c>
      <c r="F5168" s="1">
        <v>44758</v>
      </c>
    </row>
    <row r="5169" spans="1:6" x14ac:dyDescent="0.25">
      <c r="A5169">
        <v>7101420</v>
      </c>
      <c r="B5169" t="s">
        <v>5240</v>
      </c>
      <c r="C5169" t="str">
        <f>"9783428175093"</f>
        <v>9783428175093</v>
      </c>
      <c r="D5169" t="str">
        <f>"9783428575091"</f>
        <v>9783428575091</v>
      </c>
      <c r="E5169" t="s">
        <v>4772</v>
      </c>
      <c r="F5169" s="1">
        <v>44758</v>
      </c>
    </row>
    <row r="5170" spans="1:6" x14ac:dyDescent="0.25">
      <c r="A5170">
        <v>7101421</v>
      </c>
      <c r="B5170" t="s">
        <v>5241</v>
      </c>
      <c r="C5170" t="str">
        <f>"9783428175109"</f>
        <v>9783428175109</v>
      </c>
      <c r="D5170" t="str">
        <f>"9783428575107"</f>
        <v>9783428575107</v>
      </c>
      <c r="E5170" t="s">
        <v>4772</v>
      </c>
      <c r="F5170" s="1">
        <v>44758</v>
      </c>
    </row>
    <row r="5171" spans="1:6" x14ac:dyDescent="0.25">
      <c r="A5171">
        <v>7101422</v>
      </c>
      <c r="B5171" t="s">
        <v>5242</v>
      </c>
      <c r="C5171" t="str">
        <f>"9783428175116"</f>
        <v>9783428175116</v>
      </c>
      <c r="D5171" t="str">
        <f>"9783428575114"</f>
        <v>9783428575114</v>
      </c>
      <c r="E5171" t="s">
        <v>4772</v>
      </c>
      <c r="F5171" s="1">
        <v>44758</v>
      </c>
    </row>
    <row r="5172" spans="1:6" x14ac:dyDescent="0.25">
      <c r="A5172">
        <v>7101423</v>
      </c>
      <c r="B5172" t="s">
        <v>5243</v>
      </c>
      <c r="C5172" t="str">
        <f>"9783428175130"</f>
        <v>9783428175130</v>
      </c>
      <c r="D5172" t="str">
        <f>"9783428575138"</f>
        <v>9783428575138</v>
      </c>
      <c r="E5172" t="s">
        <v>4772</v>
      </c>
      <c r="F5172" s="1">
        <v>44758</v>
      </c>
    </row>
    <row r="5173" spans="1:6" x14ac:dyDescent="0.25">
      <c r="A5173">
        <v>7101424</v>
      </c>
      <c r="B5173" t="s">
        <v>5244</v>
      </c>
      <c r="C5173" t="str">
        <f>"9783428175147"</f>
        <v>9783428175147</v>
      </c>
      <c r="D5173" t="str">
        <f>"9783428575145"</f>
        <v>9783428575145</v>
      </c>
      <c r="E5173" t="s">
        <v>4772</v>
      </c>
      <c r="F5173" s="1">
        <v>44758</v>
      </c>
    </row>
    <row r="5174" spans="1:6" x14ac:dyDescent="0.25">
      <c r="A5174">
        <v>7101425</v>
      </c>
      <c r="B5174" t="s">
        <v>5245</v>
      </c>
      <c r="C5174" t="str">
        <f>"9783428175154"</f>
        <v>9783428175154</v>
      </c>
      <c r="D5174" t="str">
        <f>"9783428575152"</f>
        <v>9783428575152</v>
      </c>
      <c r="E5174" t="s">
        <v>4772</v>
      </c>
      <c r="F5174" s="1">
        <v>44758</v>
      </c>
    </row>
    <row r="5175" spans="1:6" x14ac:dyDescent="0.25">
      <c r="A5175">
        <v>7101426</v>
      </c>
      <c r="B5175" t="s">
        <v>5246</v>
      </c>
      <c r="C5175" t="str">
        <f>"9783428175161"</f>
        <v>9783428175161</v>
      </c>
      <c r="D5175" t="str">
        <f>"9783428575169"</f>
        <v>9783428575169</v>
      </c>
      <c r="E5175" t="s">
        <v>4772</v>
      </c>
      <c r="F5175" s="1">
        <v>44769</v>
      </c>
    </row>
    <row r="5176" spans="1:6" x14ac:dyDescent="0.25">
      <c r="A5176">
        <v>7101427</v>
      </c>
      <c r="B5176" t="s">
        <v>5247</v>
      </c>
      <c r="C5176" t="str">
        <f>"9783428175178"</f>
        <v>9783428175178</v>
      </c>
      <c r="D5176" t="str">
        <f>"9783428575176"</f>
        <v>9783428575176</v>
      </c>
      <c r="E5176" t="s">
        <v>4772</v>
      </c>
      <c r="F5176" s="1">
        <v>44769</v>
      </c>
    </row>
    <row r="5177" spans="1:6" x14ac:dyDescent="0.25">
      <c r="A5177">
        <v>7101428</v>
      </c>
      <c r="B5177" t="s">
        <v>5248</v>
      </c>
      <c r="C5177" t="str">
        <f>"9783428175185"</f>
        <v>9783428175185</v>
      </c>
      <c r="D5177" t="str">
        <f>"9783428575183"</f>
        <v>9783428575183</v>
      </c>
      <c r="E5177" t="s">
        <v>4772</v>
      </c>
      <c r="F5177" s="1">
        <v>44769</v>
      </c>
    </row>
    <row r="5178" spans="1:6" x14ac:dyDescent="0.25">
      <c r="A5178">
        <v>7101429</v>
      </c>
      <c r="B5178" t="s">
        <v>5249</v>
      </c>
      <c r="C5178" t="str">
        <f>"9783428175192"</f>
        <v>9783428175192</v>
      </c>
      <c r="D5178" t="str">
        <f>"9783428575190"</f>
        <v>9783428575190</v>
      </c>
      <c r="E5178" t="s">
        <v>4772</v>
      </c>
      <c r="F5178" s="1">
        <v>44769</v>
      </c>
    </row>
    <row r="5179" spans="1:6" x14ac:dyDescent="0.25">
      <c r="A5179">
        <v>7101430</v>
      </c>
      <c r="B5179" t="s">
        <v>5250</v>
      </c>
      <c r="C5179" t="str">
        <f>"9783428175215"</f>
        <v>9783428175215</v>
      </c>
      <c r="D5179" t="str">
        <f>"9783428575213"</f>
        <v>9783428575213</v>
      </c>
      <c r="E5179" t="s">
        <v>4772</v>
      </c>
      <c r="F5179" s="1">
        <v>44769</v>
      </c>
    </row>
    <row r="5180" spans="1:6" x14ac:dyDescent="0.25">
      <c r="A5180">
        <v>7101431</v>
      </c>
      <c r="B5180" t="s">
        <v>5251</v>
      </c>
      <c r="C5180" t="str">
        <f>"9783428175208"</f>
        <v>9783428175208</v>
      </c>
      <c r="D5180" t="str">
        <f>"9783428575206"</f>
        <v>9783428575206</v>
      </c>
      <c r="E5180" t="s">
        <v>4772</v>
      </c>
      <c r="F5180" s="1">
        <v>44769</v>
      </c>
    </row>
    <row r="5181" spans="1:6" x14ac:dyDescent="0.25">
      <c r="A5181">
        <v>7101432</v>
      </c>
      <c r="B5181" t="s">
        <v>5252</v>
      </c>
      <c r="C5181" t="str">
        <f>"9783428175284"</f>
        <v>9783428175284</v>
      </c>
      <c r="D5181" t="str">
        <f>"9783428575282"</f>
        <v>9783428575282</v>
      </c>
      <c r="E5181" t="s">
        <v>4772</v>
      </c>
      <c r="F5181" s="1">
        <v>44769</v>
      </c>
    </row>
    <row r="5182" spans="1:6" x14ac:dyDescent="0.25">
      <c r="A5182">
        <v>7101433</v>
      </c>
      <c r="B5182" t="s">
        <v>5253</v>
      </c>
      <c r="C5182" t="str">
        <f>"9783428175291"</f>
        <v>9783428175291</v>
      </c>
      <c r="D5182" t="str">
        <f>"9783428575299"</f>
        <v>9783428575299</v>
      </c>
      <c r="E5182" t="s">
        <v>4772</v>
      </c>
      <c r="F5182" s="1">
        <v>44769</v>
      </c>
    </row>
    <row r="5183" spans="1:6" x14ac:dyDescent="0.25">
      <c r="A5183">
        <v>7101434</v>
      </c>
      <c r="B5183" t="s">
        <v>5254</v>
      </c>
      <c r="C5183" t="str">
        <f>"9783428175307"</f>
        <v>9783428175307</v>
      </c>
      <c r="D5183" t="str">
        <f>"9783428575305"</f>
        <v>9783428575305</v>
      </c>
      <c r="E5183" t="s">
        <v>4772</v>
      </c>
      <c r="F5183" s="1">
        <v>44769</v>
      </c>
    </row>
    <row r="5184" spans="1:6" x14ac:dyDescent="0.25">
      <c r="A5184">
        <v>7101435</v>
      </c>
      <c r="B5184" t="s">
        <v>5255</v>
      </c>
      <c r="C5184" t="str">
        <f>"9783428175314"</f>
        <v>9783428175314</v>
      </c>
      <c r="D5184" t="str">
        <f>"9783428575312"</f>
        <v>9783428575312</v>
      </c>
      <c r="E5184" t="s">
        <v>4772</v>
      </c>
      <c r="F5184" s="1">
        <v>44769</v>
      </c>
    </row>
    <row r="5185" spans="1:6" x14ac:dyDescent="0.25">
      <c r="A5185">
        <v>7101436</v>
      </c>
      <c r="B5185" t="s">
        <v>5256</v>
      </c>
      <c r="C5185" t="str">
        <f>"9783428175321"</f>
        <v>9783428175321</v>
      </c>
      <c r="D5185" t="str">
        <f>"9783428575329"</f>
        <v>9783428575329</v>
      </c>
      <c r="E5185" t="s">
        <v>4772</v>
      </c>
      <c r="F5185" s="1">
        <v>44769</v>
      </c>
    </row>
    <row r="5186" spans="1:6" x14ac:dyDescent="0.25">
      <c r="A5186">
        <v>7101437</v>
      </c>
      <c r="B5186" t="s">
        <v>5257</v>
      </c>
      <c r="C5186" t="str">
        <f>"9783428175338"</f>
        <v>9783428175338</v>
      </c>
      <c r="D5186" t="str">
        <f>"9783428575336"</f>
        <v>9783428575336</v>
      </c>
      <c r="E5186" t="s">
        <v>4772</v>
      </c>
      <c r="F5186" s="1">
        <v>44681</v>
      </c>
    </row>
    <row r="5187" spans="1:6" x14ac:dyDescent="0.25">
      <c r="A5187">
        <v>7101438</v>
      </c>
      <c r="B5187" t="s">
        <v>5258</v>
      </c>
      <c r="C5187" t="str">
        <f>"9783428175345"</f>
        <v>9783428175345</v>
      </c>
      <c r="D5187" t="str">
        <f>"9783428575343"</f>
        <v>9783428575343</v>
      </c>
      <c r="E5187" t="s">
        <v>4772</v>
      </c>
      <c r="F5187" s="1">
        <v>44681</v>
      </c>
    </row>
    <row r="5188" spans="1:6" x14ac:dyDescent="0.25">
      <c r="A5188">
        <v>7101439</v>
      </c>
      <c r="B5188" t="s">
        <v>5259</v>
      </c>
      <c r="C5188" t="str">
        <f>"9783428175352"</f>
        <v>9783428175352</v>
      </c>
      <c r="D5188" t="str">
        <f>"9783428575350"</f>
        <v>9783428575350</v>
      </c>
      <c r="E5188" t="s">
        <v>4772</v>
      </c>
      <c r="F5188" s="1">
        <v>44769</v>
      </c>
    </row>
    <row r="5189" spans="1:6" x14ac:dyDescent="0.25">
      <c r="A5189">
        <v>7101440</v>
      </c>
      <c r="B5189" t="s">
        <v>5260</v>
      </c>
      <c r="C5189" t="str">
        <f>"9783428175383"</f>
        <v>9783428175383</v>
      </c>
      <c r="D5189" t="str">
        <f>"9783428575381"</f>
        <v>9783428575381</v>
      </c>
      <c r="E5189" t="s">
        <v>4772</v>
      </c>
      <c r="F5189" s="1">
        <v>44769</v>
      </c>
    </row>
    <row r="5190" spans="1:6" x14ac:dyDescent="0.25">
      <c r="A5190">
        <v>7101441</v>
      </c>
      <c r="B5190" t="s">
        <v>5261</v>
      </c>
      <c r="C5190" t="str">
        <f>"9783428175390"</f>
        <v>9783428175390</v>
      </c>
      <c r="D5190" t="str">
        <f>"9783428575398"</f>
        <v>9783428575398</v>
      </c>
      <c r="E5190" t="s">
        <v>4772</v>
      </c>
      <c r="F5190" s="1">
        <v>44769</v>
      </c>
    </row>
    <row r="5191" spans="1:6" x14ac:dyDescent="0.25">
      <c r="A5191">
        <v>7101442</v>
      </c>
      <c r="B5191" t="s">
        <v>5262</v>
      </c>
      <c r="C5191" t="str">
        <f>"9783428175413"</f>
        <v>9783428175413</v>
      </c>
      <c r="D5191" t="str">
        <f>"9783428575411"</f>
        <v>9783428575411</v>
      </c>
      <c r="E5191" t="s">
        <v>4772</v>
      </c>
      <c r="F5191" s="1">
        <v>44769</v>
      </c>
    </row>
    <row r="5192" spans="1:6" x14ac:dyDescent="0.25">
      <c r="A5192">
        <v>7101443</v>
      </c>
      <c r="B5192" t="s">
        <v>5263</v>
      </c>
      <c r="C5192" t="str">
        <f>"9783428175420"</f>
        <v>9783428175420</v>
      </c>
      <c r="D5192" t="str">
        <f>"9783428575428"</f>
        <v>9783428575428</v>
      </c>
      <c r="E5192" t="s">
        <v>4772</v>
      </c>
      <c r="F5192" s="1">
        <v>44769</v>
      </c>
    </row>
    <row r="5193" spans="1:6" x14ac:dyDescent="0.25">
      <c r="A5193">
        <v>7101444</v>
      </c>
      <c r="B5193" t="s">
        <v>5264</v>
      </c>
      <c r="C5193" t="str">
        <f>"9783428181070"</f>
        <v>9783428181070</v>
      </c>
      <c r="D5193" t="str">
        <f>"9783428581078"</f>
        <v>9783428581078</v>
      </c>
      <c r="E5193" t="s">
        <v>4772</v>
      </c>
      <c r="F5193" s="1">
        <v>44187</v>
      </c>
    </row>
    <row r="5194" spans="1:6" x14ac:dyDescent="0.25">
      <c r="A5194">
        <v>7101445</v>
      </c>
      <c r="B5194" t="s">
        <v>5265</v>
      </c>
      <c r="C5194" t="str">
        <f>"9783428181971"</f>
        <v>9783428181971</v>
      </c>
      <c r="D5194" t="str">
        <f>"9783428581979"</f>
        <v>9783428581979</v>
      </c>
      <c r="E5194" t="s">
        <v>4772</v>
      </c>
      <c r="F5194" s="1">
        <v>44644</v>
      </c>
    </row>
    <row r="5195" spans="1:6" x14ac:dyDescent="0.25">
      <c r="A5195">
        <v>7101446</v>
      </c>
      <c r="B5195" t="s">
        <v>5266</v>
      </c>
      <c r="C5195" t="str">
        <f>"9783428182602"</f>
        <v>9783428182602</v>
      </c>
      <c r="D5195" t="str">
        <f>"9783428582600"</f>
        <v>9783428582600</v>
      </c>
      <c r="E5195" t="s">
        <v>4772</v>
      </c>
      <c r="F5195" s="1">
        <v>44307</v>
      </c>
    </row>
    <row r="5196" spans="1:6" x14ac:dyDescent="0.25">
      <c r="A5196">
        <v>7101447</v>
      </c>
      <c r="B5196" t="s">
        <v>5267</v>
      </c>
      <c r="C5196" t="str">
        <f>"9783428184569"</f>
        <v>9783428184569</v>
      </c>
      <c r="D5196" t="str">
        <f>"9783428584567"</f>
        <v>9783428584567</v>
      </c>
      <c r="E5196" t="s">
        <v>4772</v>
      </c>
      <c r="F5196" s="1">
        <v>44706</v>
      </c>
    </row>
    <row r="5197" spans="1:6" x14ac:dyDescent="0.25">
      <c r="A5197">
        <v>7101448</v>
      </c>
      <c r="B5197" t="s">
        <v>5268</v>
      </c>
      <c r="C5197" t="str">
        <f>"9783428184873"</f>
        <v>9783428184873</v>
      </c>
      <c r="D5197" t="str">
        <f>"9783428584871"</f>
        <v>9783428584871</v>
      </c>
      <c r="E5197" t="s">
        <v>4772</v>
      </c>
      <c r="F5197" s="1">
        <v>44545</v>
      </c>
    </row>
    <row r="5198" spans="1:6" x14ac:dyDescent="0.25">
      <c r="A5198">
        <v>7101449</v>
      </c>
      <c r="B5198" t="s">
        <v>5269</v>
      </c>
      <c r="C5198" t="str">
        <f>"9783428185221"</f>
        <v>9783428185221</v>
      </c>
      <c r="D5198" t="str">
        <f>"9783428585229"</f>
        <v>9783428585229</v>
      </c>
      <c r="E5198" t="s">
        <v>4772</v>
      </c>
      <c r="F5198" s="1">
        <v>44699</v>
      </c>
    </row>
    <row r="5199" spans="1:6" x14ac:dyDescent="0.25">
      <c r="A5199">
        <v>7101450</v>
      </c>
      <c r="B5199" t="s">
        <v>5270</v>
      </c>
      <c r="C5199" t="str">
        <f>"9783428186167"</f>
        <v>9783428186167</v>
      </c>
      <c r="D5199" t="str">
        <f>"9783428586165"</f>
        <v>9783428586165</v>
      </c>
      <c r="E5199" t="s">
        <v>4772</v>
      </c>
      <c r="F5199" s="1">
        <v>44769</v>
      </c>
    </row>
    <row r="5200" spans="1:6" x14ac:dyDescent="0.25">
      <c r="A5200">
        <v>7101451</v>
      </c>
      <c r="B5200" t="s">
        <v>5271</v>
      </c>
      <c r="C5200" t="str">
        <f>"9783428186600"</f>
        <v>9783428186600</v>
      </c>
      <c r="D5200" t="str">
        <f>"9783428586608"</f>
        <v>9783428586608</v>
      </c>
      <c r="E5200" t="s">
        <v>4772</v>
      </c>
      <c r="F5200" s="1">
        <v>44816</v>
      </c>
    </row>
    <row r="5201" spans="1:6" x14ac:dyDescent="0.25">
      <c r="A5201">
        <v>7101452</v>
      </c>
      <c r="B5201" t="s">
        <v>5272</v>
      </c>
      <c r="C5201" t="str">
        <f>"9783428186778"</f>
        <v>9783428186778</v>
      </c>
      <c r="D5201" t="str">
        <f>"9783428586776"</f>
        <v>9783428586776</v>
      </c>
      <c r="E5201" t="s">
        <v>4772</v>
      </c>
      <c r="F5201" s="1">
        <v>44839</v>
      </c>
    </row>
    <row r="5202" spans="1:6" x14ac:dyDescent="0.25">
      <c r="A5202">
        <v>7101854</v>
      </c>
      <c r="B5202" t="s">
        <v>5273</v>
      </c>
      <c r="C5202" t="str">
        <f>"9783031110801"</f>
        <v>9783031110801</v>
      </c>
      <c r="D5202" t="str">
        <f>"9783031110818"</f>
        <v>9783031110818</v>
      </c>
      <c r="E5202" t="s">
        <v>756</v>
      </c>
      <c r="F5202" s="1">
        <v>44826</v>
      </c>
    </row>
    <row r="5203" spans="1:6" x14ac:dyDescent="0.25">
      <c r="A5203">
        <v>7102016</v>
      </c>
      <c r="B5203" t="s">
        <v>5274</v>
      </c>
      <c r="C5203" t="str">
        <f>"9783031041280"</f>
        <v>9783031041280</v>
      </c>
      <c r="D5203" t="str">
        <f>"9783031041297"</f>
        <v>9783031041297</v>
      </c>
      <c r="E5203" t="s">
        <v>756</v>
      </c>
      <c r="F5203" s="1">
        <v>44832</v>
      </c>
    </row>
    <row r="5204" spans="1:6" x14ac:dyDescent="0.25">
      <c r="A5204">
        <v>7102044</v>
      </c>
      <c r="B5204" t="s">
        <v>5275</v>
      </c>
      <c r="C5204" t="str">
        <f>"9783030958510"</f>
        <v>9783030958510</v>
      </c>
      <c r="D5204" t="str">
        <f>"9783030958527"</f>
        <v>9783030958527</v>
      </c>
      <c r="E5204" t="s">
        <v>756</v>
      </c>
      <c r="F5204" s="1">
        <v>44864</v>
      </c>
    </row>
    <row r="5205" spans="1:6" x14ac:dyDescent="0.25">
      <c r="A5205">
        <v>7102146</v>
      </c>
      <c r="B5205" t="s">
        <v>5276</v>
      </c>
      <c r="C5205" t="str">
        <f>"9783031097621"</f>
        <v>9783031097621</v>
      </c>
      <c r="D5205" t="str">
        <f>"9783031097638"</f>
        <v>9783031097638</v>
      </c>
      <c r="E5205" t="s">
        <v>756</v>
      </c>
      <c r="F5205" s="1">
        <v>44826</v>
      </c>
    </row>
    <row r="5206" spans="1:6" x14ac:dyDescent="0.25">
      <c r="A5206">
        <v>7103024</v>
      </c>
      <c r="B5206" t="s">
        <v>5277</v>
      </c>
      <c r="C5206" t="str">
        <f>""</f>
        <v/>
      </c>
      <c r="D5206" t="str">
        <f>"9789179294090"</f>
        <v>9789179294090</v>
      </c>
      <c r="E5206" t="s">
        <v>1004</v>
      </c>
      <c r="F5206" s="1">
        <v>44832</v>
      </c>
    </row>
    <row r="5207" spans="1:6" x14ac:dyDescent="0.25">
      <c r="A5207">
        <v>7107994</v>
      </c>
      <c r="B5207" t="s">
        <v>5278</v>
      </c>
      <c r="C5207" t="str">
        <f>"9783777632988"</f>
        <v>9783777632988</v>
      </c>
      <c r="D5207" t="str">
        <f>"9783777633015"</f>
        <v>9783777633015</v>
      </c>
      <c r="E5207" t="s">
        <v>5279</v>
      </c>
      <c r="F5207" s="1">
        <v>44844</v>
      </c>
    </row>
    <row r="5208" spans="1:6" x14ac:dyDescent="0.25">
      <c r="A5208">
        <v>7109138</v>
      </c>
      <c r="B5208" t="s">
        <v>5280</v>
      </c>
      <c r="C5208" t="str">
        <f>"9783428010745"</f>
        <v>9783428010745</v>
      </c>
      <c r="D5208" t="str">
        <f>"9783428410743"</f>
        <v>9783428410743</v>
      </c>
      <c r="E5208" t="s">
        <v>4772</v>
      </c>
      <c r="F5208" s="1">
        <v>44811</v>
      </c>
    </row>
    <row r="5209" spans="1:6" x14ac:dyDescent="0.25">
      <c r="A5209">
        <v>7109139</v>
      </c>
      <c r="B5209" t="s">
        <v>5281</v>
      </c>
      <c r="C5209" t="str">
        <f>"9783428019458"</f>
        <v>9783428019458</v>
      </c>
      <c r="D5209" t="str">
        <f>"9783428419456"</f>
        <v>9783428419456</v>
      </c>
      <c r="E5209" t="s">
        <v>4772</v>
      </c>
      <c r="F5209" s="1">
        <v>43636</v>
      </c>
    </row>
    <row r="5210" spans="1:6" x14ac:dyDescent="0.25">
      <c r="A5210">
        <v>7109140</v>
      </c>
      <c r="B5210" t="s">
        <v>5282</v>
      </c>
      <c r="C5210" t="str">
        <f>"9783428035236"</f>
        <v>9783428035236</v>
      </c>
      <c r="D5210" t="str">
        <f>"9783428435234"</f>
        <v>9783428435234</v>
      </c>
      <c r="E5210" t="s">
        <v>4772</v>
      </c>
      <c r="F5210" s="1">
        <v>44829</v>
      </c>
    </row>
    <row r="5211" spans="1:6" x14ac:dyDescent="0.25">
      <c r="A5211">
        <v>7109141</v>
      </c>
      <c r="B5211" t="s">
        <v>5283</v>
      </c>
      <c r="C5211" t="str">
        <f>"9783428040315"</f>
        <v>9783428040315</v>
      </c>
      <c r="D5211" t="str">
        <f>"9783428440313"</f>
        <v>9783428440313</v>
      </c>
      <c r="E5211" t="s">
        <v>4772</v>
      </c>
      <c r="F5211" s="1">
        <v>44829</v>
      </c>
    </row>
    <row r="5212" spans="1:6" x14ac:dyDescent="0.25">
      <c r="A5212">
        <v>7109142</v>
      </c>
      <c r="B5212" t="s">
        <v>5284</v>
      </c>
      <c r="C5212" t="str">
        <f>"9783428043132"</f>
        <v>9783428043132</v>
      </c>
      <c r="D5212" t="str">
        <f>"9783428443130"</f>
        <v>9783428443130</v>
      </c>
      <c r="E5212" t="s">
        <v>4772</v>
      </c>
      <c r="F5212" s="1">
        <v>44769</v>
      </c>
    </row>
    <row r="5213" spans="1:6" x14ac:dyDescent="0.25">
      <c r="A5213">
        <v>7109143</v>
      </c>
      <c r="B5213" t="s">
        <v>5285</v>
      </c>
      <c r="C5213" t="str">
        <f>"9783428049585"</f>
        <v>9783428049585</v>
      </c>
      <c r="D5213" t="str">
        <f>"9783428449583"</f>
        <v>9783428449583</v>
      </c>
      <c r="E5213" t="s">
        <v>4772</v>
      </c>
      <c r="F5213" s="1">
        <v>44769</v>
      </c>
    </row>
    <row r="5214" spans="1:6" x14ac:dyDescent="0.25">
      <c r="A5214">
        <v>7109144</v>
      </c>
      <c r="B5214" t="s">
        <v>5286</v>
      </c>
      <c r="C5214" t="str">
        <f>"9783428054145"</f>
        <v>9783428054145</v>
      </c>
      <c r="D5214" t="str">
        <f>"9783428454143"</f>
        <v>9783428454143</v>
      </c>
      <c r="E5214" t="s">
        <v>4772</v>
      </c>
      <c r="F5214" s="1">
        <v>44769</v>
      </c>
    </row>
    <row r="5215" spans="1:6" x14ac:dyDescent="0.25">
      <c r="A5215">
        <v>7109145</v>
      </c>
      <c r="B5215" t="s">
        <v>5287</v>
      </c>
      <c r="C5215" t="str">
        <f>"9783428054909"</f>
        <v>9783428054909</v>
      </c>
      <c r="D5215" t="str">
        <f>"9783428454907"</f>
        <v>9783428454907</v>
      </c>
      <c r="E5215" t="s">
        <v>4772</v>
      </c>
      <c r="F5215" s="1">
        <v>44769</v>
      </c>
    </row>
    <row r="5216" spans="1:6" x14ac:dyDescent="0.25">
      <c r="A5216">
        <v>7109146</v>
      </c>
      <c r="B5216" t="s">
        <v>5288</v>
      </c>
      <c r="C5216" t="str">
        <f>"9783428062881"</f>
        <v>9783428062881</v>
      </c>
      <c r="D5216" t="str">
        <f>"9783428462889"</f>
        <v>9783428462889</v>
      </c>
      <c r="E5216" t="s">
        <v>4772</v>
      </c>
      <c r="F5216" s="1">
        <v>44769</v>
      </c>
    </row>
    <row r="5217" spans="1:6" x14ac:dyDescent="0.25">
      <c r="A5217">
        <v>28870493</v>
      </c>
      <c r="B5217" t="s">
        <v>5289</v>
      </c>
      <c r="C5217" t="str">
        <f>"9781439921500"</f>
        <v>9781439921500</v>
      </c>
      <c r="D5217" t="str">
        <f>"9781439921517"</f>
        <v>9781439921517</v>
      </c>
      <c r="E5217" t="s">
        <v>47</v>
      </c>
      <c r="F5217" s="1">
        <v>44540</v>
      </c>
    </row>
    <row r="5218" spans="1:6" x14ac:dyDescent="0.25">
      <c r="A5218">
        <v>28870497</v>
      </c>
      <c r="B5218" t="s">
        <v>5290</v>
      </c>
      <c r="C5218" t="str">
        <f>"9780822966791"</f>
        <v>9780822966791</v>
      </c>
      <c r="D5218" t="str">
        <f>"9780822988656"</f>
        <v>9780822988656</v>
      </c>
      <c r="E5218" t="s">
        <v>5291</v>
      </c>
      <c r="F5218" s="1">
        <v>44474</v>
      </c>
    </row>
    <row r="5219" spans="1:6" x14ac:dyDescent="0.25">
      <c r="A5219">
        <v>29292771</v>
      </c>
      <c r="B5219" t="s">
        <v>5292</v>
      </c>
      <c r="C5219" t="str">
        <f>""</f>
        <v/>
      </c>
      <c r="D5219" t="str">
        <f>"9789633864791"</f>
        <v>9789633864791</v>
      </c>
      <c r="E5219" t="s">
        <v>576</v>
      </c>
      <c r="F5219" s="1">
        <v>44788</v>
      </c>
    </row>
    <row r="5220" spans="1:6" x14ac:dyDescent="0.25">
      <c r="A5220">
        <v>29377749</v>
      </c>
      <c r="B5220" t="s">
        <v>4620</v>
      </c>
      <c r="C5220" t="str">
        <f>"9780813597263"</f>
        <v>9780813597263</v>
      </c>
      <c r="D5220" t="str">
        <f>"9780813597300"</f>
        <v>9780813597300</v>
      </c>
      <c r="E5220" t="s">
        <v>51</v>
      </c>
      <c r="F5220" s="1">
        <v>44742</v>
      </c>
    </row>
    <row r="5221" spans="1:6" x14ac:dyDescent="0.25">
      <c r="A5221">
        <v>29796515</v>
      </c>
      <c r="B5221" t="s">
        <v>5293</v>
      </c>
      <c r="C5221" t="str">
        <f>""</f>
        <v/>
      </c>
      <c r="D5221" t="str">
        <f>"9781800106321"</f>
        <v>9781800106321</v>
      </c>
      <c r="E5221" t="s">
        <v>3600</v>
      </c>
      <c r="F5221" s="1">
        <v>44810</v>
      </c>
    </row>
    <row r="5222" spans="1:6" x14ac:dyDescent="0.25">
      <c r="A5222">
        <v>30003731</v>
      </c>
      <c r="B5222" t="s">
        <v>5294</v>
      </c>
      <c r="C5222" t="str">
        <f>"9789087282721"</f>
        <v>9789087282721</v>
      </c>
      <c r="D5222" t="str">
        <f>"9789400602779"</f>
        <v>9789400602779</v>
      </c>
      <c r="E5222" t="s">
        <v>59</v>
      </c>
      <c r="F5222" s="1">
        <v>42795</v>
      </c>
    </row>
    <row r="5223" spans="1:6" x14ac:dyDescent="0.25">
      <c r="A5223">
        <v>30003734</v>
      </c>
      <c r="B5223" t="s">
        <v>5295</v>
      </c>
    </row>
    <row r="5224" spans="1:6" x14ac:dyDescent="0.25">
      <c r="A5224">
        <v>30130758</v>
      </c>
      <c r="B5224" t="s">
        <v>5296</v>
      </c>
      <c r="C5224" t="str">
        <f>""</f>
        <v/>
      </c>
      <c r="D5224" t="str">
        <f>"9781800105621"</f>
        <v>9781800105621</v>
      </c>
      <c r="E5224" t="s">
        <v>3600</v>
      </c>
      <c r="F5224" s="1">
        <v>44768</v>
      </c>
    </row>
    <row r="5225" spans="1:6" x14ac:dyDescent="0.25">
      <c r="A5225">
        <v>30169224</v>
      </c>
      <c r="B5225" t="s">
        <v>5297</v>
      </c>
      <c r="C5225" t="str">
        <f>""</f>
        <v/>
      </c>
      <c r="D5225" t="str">
        <f>"9781800643703"</f>
        <v>9781800643703</v>
      </c>
      <c r="E5225" t="s">
        <v>580</v>
      </c>
      <c r="F5225" s="1">
        <v>44700</v>
      </c>
    </row>
    <row r="5226" spans="1:6" x14ac:dyDescent="0.25">
      <c r="A5226">
        <v>30169225</v>
      </c>
      <c r="B5226" t="s">
        <v>5298</v>
      </c>
      <c r="C5226" t="str">
        <f>""</f>
        <v/>
      </c>
      <c r="D5226" t="str">
        <f>"9781800647442"</f>
        <v>9781800647442</v>
      </c>
      <c r="E5226" t="s">
        <v>580</v>
      </c>
      <c r="F5226" s="1">
        <v>44811</v>
      </c>
    </row>
    <row r="5227" spans="1:6" x14ac:dyDescent="0.25">
      <c r="A5227">
        <v>30169226</v>
      </c>
      <c r="B5227" t="s">
        <v>5299</v>
      </c>
      <c r="C5227" t="str">
        <f>""</f>
        <v/>
      </c>
      <c r="D5227" t="str">
        <f>"9781800643642"</f>
        <v>9781800643642</v>
      </c>
      <c r="E5227" t="s">
        <v>580</v>
      </c>
      <c r="F5227" s="1">
        <v>44865</v>
      </c>
    </row>
    <row r="5228" spans="1:6" x14ac:dyDescent="0.25">
      <c r="A5228">
        <v>30169227</v>
      </c>
      <c r="B5228" t="s">
        <v>5300</v>
      </c>
      <c r="C5228" t="str">
        <f>""</f>
        <v/>
      </c>
      <c r="D5228" t="str">
        <f>"9781800647510"</f>
        <v>9781800647510</v>
      </c>
      <c r="E5228" t="s">
        <v>580</v>
      </c>
      <c r="F5228" s="1">
        <v>44845</v>
      </c>
    </row>
    <row r="5229" spans="1:6" x14ac:dyDescent="0.25">
      <c r="A5229">
        <v>30169228</v>
      </c>
      <c r="B5229" t="s">
        <v>5301</v>
      </c>
      <c r="C5229" t="str">
        <f>""</f>
        <v/>
      </c>
      <c r="D5229" t="str">
        <f>"9781800647275"</f>
        <v>9781800647275</v>
      </c>
      <c r="E5229" t="s">
        <v>580</v>
      </c>
      <c r="F5229" s="1">
        <v>44776</v>
      </c>
    </row>
    <row r="5230" spans="1:6" x14ac:dyDescent="0.25">
      <c r="A5230">
        <v>30169232</v>
      </c>
      <c r="B5230" t="s">
        <v>5302</v>
      </c>
      <c r="C5230" t="str">
        <f>""</f>
        <v/>
      </c>
      <c r="D5230" t="str">
        <f>"9781800647718"</f>
        <v>9781800647718</v>
      </c>
      <c r="E5230" t="s">
        <v>580</v>
      </c>
      <c r="F5230" s="1">
        <v>44728</v>
      </c>
    </row>
    <row r="5231" spans="1:6" x14ac:dyDescent="0.25">
      <c r="A5231">
        <v>30169233</v>
      </c>
      <c r="B5231" t="s">
        <v>5303</v>
      </c>
      <c r="C5231" t="str">
        <f>""</f>
        <v/>
      </c>
      <c r="D5231" t="str">
        <f>"9781800647817"</f>
        <v>9781800647817</v>
      </c>
      <c r="E5231" t="s">
        <v>580</v>
      </c>
      <c r="F5231" s="1">
        <v>44726</v>
      </c>
    </row>
    <row r="5232" spans="1:6" x14ac:dyDescent="0.25">
      <c r="A5232">
        <v>30169234</v>
      </c>
      <c r="B5232" t="s">
        <v>5304</v>
      </c>
      <c r="C5232" t="str">
        <f>""</f>
        <v/>
      </c>
      <c r="D5232" t="str">
        <f>"9781800647954"</f>
        <v>9781800647954</v>
      </c>
      <c r="E5232" t="s">
        <v>580</v>
      </c>
      <c r="F5232" s="1">
        <v>44860</v>
      </c>
    </row>
    <row r="5233" spans="1:6" x14ac:dyDescent="0.25">
      <c r="A5233">
        <v>30169235</v>
      </c>
      <c r="B5233" t="s">
        <v>5305</v>
      </c>
      <c r="C5233" t="str">
        <f>""</f>
        <v/>
      </c>
      <c r="D5233" t="str">
        <f>"9781800642386"</f>
        <v>9781800642386</v>
      </c>
      <c r="E5233" t="s">
        <v>580</v>
      </c>
      <c r="F5233" s="1">
        <v>44830</v>
      </c>
    </row>
    <row r="5234" spans="1:6" x14ac:dyDescent="0.25">
      <c r="A5234">
        <v>30169236</v>
      </c>
      <c r="B5234" t="s">
        <v>5306</v>
      </c>
      <c r="C5234" t="str">
        <f>""</f>
        <v/>
      </c>
      <c r="D5234" t="str">
        <f>"9781800647688"</f>
        <v>9781800647688</v>
      </c>
      <c r="E5234" t="s">
        <v>580</v>
      </c>
      <c r="F5234" s="1">
        <v>44732</v>
      </c>
    </row>
    <row r="5235" spans="1:6" x14ac:dyDescent="0.25">
      <c r="A5235">
        <v>30169238</v>
      </c>
      <c r="B5235" t="s">
        <v>5307</v>
      </c>
      <c r="C5235" t="str">
        <f>""</f>
        <v/>
      </c>
      <c r="D5235" t="str">
        <f>"9781800647107"</f>
        <v>9781800647107</v>
      </c>
      <c r="E5235" t="s">
        <v>580</v>
      </c>
      <c r="F5235" s="1">
        <v>44879</v>
      </c>
    </row>
    <row r="5236" spans="1:6" x14ac:dyDescent="0.25">
      <c r="A5236">
        <v>30169239</v>
      </c>
      <c r="B5236" t="s">
        <v>5308</v>
      </c>
      <c r="C5236" t="str">
        <f>""</f>
        <v/>
      </c>
      <c r="D5236" t="str">
        <f>"9781800643765"</f>
        <v>9781800643765</v>
      </c>
      <c r="E5236" t="s">
        <v>580</v>
      </c>
      <c r="F5236" s="1">
        <v>44740</v>
      </c>
    </row>
    <row r="5237" spans="1:6" x14ac:dyDescent="0.25">
      <c r="A5237">
        <v>30169240</v>
      </c>
      <c r="B5237" t="s">
        <v>5309</v>
      </c>
      <c r="C5237" t="str">
        <f>""</f>
        <v/>
      </c>
      <c r="D5237" t="str">
        <f>"9781800644182"</f>
        <v>9781800644182</v>
      </c>
      <c r="E5237" t="s">
        <v>580</v>
      </c>
      <c r="F5237" s="1">
        <v>44735</v>
      </c>
    </row>
    <row r="5238" spans="1:6" x14ac:dyDescent="0.25">
      <c r="A5238">
        <v>30169241</v>
      </c>
      <c r="B5238" t="s">
        <v>5310</v>
      </c>
      <c r="C5238" t="str">
        <f>""</f>
        <v/>
      </c>
      <c r="D5238" t="str">
        <f>"9781800643468"</f>
        <v>9781800643468</v>
      </c>
      <c r="E5238" t="s">
        <v>580</v>
      </c>
      <c r="F5238" s="1">
        <v>44776</v>
      </c>
    </row>
    <row r="5239" spans="1:6" x14ac:dyDescent="0.25">
      <c r="A5239">
        <v>30169242</v>
      </c>
      <c r="B5239" t="s">
        <v>5311</v>
      </c>
      <c r="C5239" t="str">
        <f>""</f>
        <v/>
      </c>
      <c r="D5239" t="str">
        <f>"9781800644007"</f>
        <v>9781800644007</v>
      </c>
      <c r="E5239" t="s">
        <v>580</v>
      </c>
      <c r="F5239" s="1">
        <v>44840</v>
      </c>
    </row>
    <row r="5240" spans="1:6" x14ac:dyDescent="0.25">
      <c r="A5240">
        <v>30169243</v>
      </c>
      <c r="B5240" t="s">
        <v>5312</v>
      </c>
      <c r="C5240" t="str">
        <f>""</f>
        <v/>
      </c>
      <c r="D5240" t="str">
        <f>"9781800647244"</f>
        <v>9781800647244</v>
      </c>
      <c r="E5240" t="s">
        <v>580</v>
      </c>
      <c r="F5240" s="1">
        <v>44847</v>
      </c>
    </row>
    <row r="5241" spans="1:6" x14ac:dyDescent="0.25">
      <c r="A5241">
        <v>30169244</v>
      </c>
      <c r="B5241" t="s">
        <v>5313</v>
      </c>
      <c r="C5241" t="str">
        <f>""</f>
        <v/>
      </c>
      <c r="D5241" t="str">
        <f>"9781800647305"</f>
        <v>9781800647305</v>
      </c>
      <c r="E5241" t="s">
        <v>580</v>
      </c>
      <c r="F5241" s="1">
        <v>44725</v>
      </c>
    </row>
    <row r="5242" spans="1:6" x14ac:dyDescent="0.25">
      <c r="A5242">
        <v>30180208</v>
      </c>
      <c r="B5242" t="s">
        <v>5314</v>
      </c>
      <c r="C5242" t="str">
        <f>""</f>
        <v/>
      </c>
      <c r="D5242" t="str">
        <f>"9789179294519"</f>
        <v>9789179294519</v>
      </c>
      <c r="E5242" t="s">
        <v>1004</v>
      </c>
      <c r="F5242" s="1">
        <v>44811</v>
      </c>
    </row>
    <row r="5243" spans="1:6" x14ac:dyDescent="0.25">
      <c r="A5243">
        <v>30180209</v>
      </c>
      <c r="B5243" t="s">
        <v>5315</v>
      </c>
      <c r="C5243" t="str">
        <f>""</f>
        <v/>
      </c>
      <c r="D5243" t="str">
        <f>"9789179294731"</f>
        <v>9789179294731</v>
      </c>
      <c r="E5243" t="s">
        <v>1004</v>
      </c>
      <c r="F5243" s="1">
        <v>44841</v>
      </c>
    </row>
    <row r="5244" spans="1:6" x14ac:dyDescent="0.25">
      <c r="A5244">
        <v>30183726</v>
      </c>
      <c r="B5244" t="s">
        <v>5316</v>
      </c>
      <c r="C5244" t="str">
        <f>""</f>
        <v/>
      </c>
      <c r="D5244" t="str">
        <f>"9789179294717"</f>
        <v>9789179294717</v>
      </c>
      <c r="E5244" t="s">
        <v>1004</v>
      </c>
      <c r="F5244" s="1">
        <v>44844</v>
      </c>
    </row>
    <row r="5245" spans="1:6" x14ac:dyDescent="0.25">
      <c r="A5245">
        <v>30183727</v>
      </c>
      <c r="B5245" t="s">
        <v>5317</v>
      </c>
      <c r="C5245" t="str">
        <f>""</f>
        <v/>
      </c>
      <c r="D5245" t="str">
        <f>"9789179294854"</f>
        <v>9789179294854</v>
      </c>
      <c r="E5245" t="s">
        <v>1004</v>
      </c>
      <c r="F5245" s="1">
        <v>44846</v>
      </c>
    </row>
    <row r="5246" spans="1:6" x14ac:dyDescent="0.25">
      <c r="A5246">
        <v>30183728</v>
      </c>
      <c r="B5246" t="s">
        <v>5318</v>
      </c>
      <c r="C5246" t="str">
        <f>""</f>
        <v/>
      </c>
      <c r="D5246" t="str">
        <f>"9789179295134"</f>
        <v>9789179295134</v>
      </c>
      <c r="E5246" t="s">
        <v>1004</v>
      </c>
      <c r="F5246" s="1">
        <v>44847</v>
      </c>
    </row>
    <row r="5247" spans="1:6" x14ac:dyDescent="0.25">
      <c r="A5247">
        <v>30192682</v>
      </c>
      <c r="B5247" t="s">
        <v>5319</v>
      </c>
      <c r="C5247" t="str">
        <f>""</f>
        <v/>
      </c>
      <c r="D5247" t="str">
        <f>"9789179294267"</f>
        <v>9789179294267</v>
      </c>
      <c r="E5247" t="s">
        <v>1004</v>
      </c>
      <c r="F5247" s="1">
        <v>44851</v>
      </c>
    </row>
    <row r="5248" spans="1:6" x14ac:dyDescent="0.25">
      <c r="A5248">
        <v>30192683</v>
      </c>
      <c r="B5248" t="s">
        <v>5320</v>
      </c>
      <c r="C5248" t="str">
        <f>""</f>
        <v/>
      </c>
      <c r="D5248" t="str">
        <f>"9789179295295"</f>
        <v>9789179295295</v>
      </c>
      <c r="E5248" t="s">
        <v>1004</v>
      </c>
      <c r="F5248" s="1">
        <v>44853</v>
      </c>
    </row>
    <row r="5249" spans="1:6" x14ac:dyDescent="0.25">
      <c r="A5249">
        <v>30192684</v>
      </c>
      <c r="B5249" t="s">
        <v>5321</v>
      </c>
      <c r="C5249" t="str">
        <f>""</f>
        <v/>
      </c>
      <c r="D5249" t="str">
        <f>"9789179294281"</f>
        <v>9789179294281</v>
      </c>
      <c r="E5249" t="s">
        <v>1004</v>
      </c>
      <c r="F5249" s="1">
        <v>44855</v>
      </c>
    </row>
    <row r="5250" spans="1:6" x14ac:dyDescent="0.25">
      <c r="A5250">
        <v>30202741</v>
      </c>
      <c r="B5250" t="s">
        <v>5322</v>
      </c>
      <c r="C5250" t="str">
        <f>"9781800856141"</f>
        <v>9781800856141</v>
      </c>
      <c r="D5250" t="str">
        <f>"9781800855687"</f>
        <v>9781800855687</v>
      </c>
      <c r="E5250" t="s">
        <v>1287</v>
      </c>
      <c r="F5250" s="1">
        <v>44927</v>
      </c>
    </row>
    <row r="5251" spans="1:6" x14ac:dyDescent="0.25">
      <c r="A5251">
        <v>30203702</v>
      </c>
      <c r="B5251" t="s">
        <v>5323</v>
      </c>
      <c r="C5251" t="str">
        <f>""</f>
        <v/>
      </c>
      <c r="D5251" t="str">
        <f>"9789179295035"</f>
        <v>9789179295035</v>
      </c>
      <c r="E5251" t="s">
        <v>1004</v>
      </c>
      <c r="F5251" s="1">
        <v>44861</v>
      </c>
    </row>
    <row r="5252" spans="1:6" x14ac:dyDescent="0.25">
      <c r="A5252">
        <v>30203703</v>
      </c>
      <c r="B5252" t="s">
        <v>5324</v>
      </c>
      <c r="C5252" t="str">
        <f>""</f>
        <v/>
      </c>
      <c r="D5252" t="str">
        <f>"9789179294878"</f>
        <v>9789179294878</v>
      </c>
      <c r="E5252" t="s">
        <v>1004</v>
      </c>
      <c r="F5252" s="1">
        <v>44862</v>
      </c>
    </row>
    <row r="5253" spans="1:6" x14ac:dyDescent="0.25">
      <c r="A5253">
        <v>30203704</v>
      </c>
      <c r="B5253" t="s">
        <v>5325</v>
      </c>
      <c r="C5253" t="str">
        <f>""</f>
        <v/>
      </c>
      <c r="D5253" t="str">
        <f>"9789179294687"</f>
        <v>9789179294687</v>
      </c>
      <c r="E5253" t="s">
        <v>1004</v>
      </c>
      <c r="F5253" s="1">
        <v>44853</v>
      </c>
    </row>
    <row r="5254" spans="1:6" x14ac:dyDescent="0.25">
      <c r="A5254">
        <v>30203705</v>
      </c>
      <c r="B5254" t="s">
        <v>5326</v>
      </c>
      <c r="C5254" t="str">
        <f>""</f>
        <v/>
      </c>
      <c r="D5254" t="str">
        <f>"9789179294939"</f>
        <v>9789179294939</v>
      </c>
      <c r="E5254" t="s">
        <v>1004</v>
      </c>
      <c r="F5254" s="1">
        <v>44862</v>
      </c>
    </row>
    <row r="5255" spans="1:6" x14ac:dyDescent="0.25">
      <c r="A5255">
        <v>30203707</v>
      </c>
      <c r="B5255" t="s">
        <v>5327</v>
      </c>
      <c r="C5255" t="str">
        <f>""</f>
        <v/>
      </c>
      <c r="D5255" t="str">
        <f>"9789179294793"</f>
        <v>9789179294793</v>
      </c>
      <c r="E5255" t="s">
        <v>1004</v>
      </c>
      <c r="F5255" s="1">
        <v>44861</v>
      </c>
    </row>
    <row r="5256" spans="1:6" x14ac:dyDescent="0.25">
      <c r="A5256">
        <v>30222492</v>
      </c>
      <c r="B5256" t="s">
        <v>5328</v>
      </c>
      <c r="C5256" t="str">
        <f>""</f>
        <v/>
      </c>
      <c r="D5256" t="str">
        <f>"9781800649217"</f>
        <v>9781800649217</v>
      </c>
      <c r="E5256" t="s">
        <v>580</v>
      </c>
      <c r="F5256" s="1">
        <v>44872</v>
      </c>
    </row>
    <row r="5257" spans="1:6" x14ac:dyDescent="0.25">
      <c r="A5257">
        <v>30229626</v>
      </c>
      <c r="B5257" t="s">
        <v>5329</v>
      </c>
      <c r="C5257" t="str">
        <f>""</f>
        <v/>
      </c>
      <c r="D5257" t="str">
        <f>"9789179295325"</f>
        <v>9789179295325</v>
      </c>
      <c r="E5257" t="s">
        <v>1004</v>
      </c>
      <c r="F5257" s="1">
        <v>44872</v>
      </c>
    </row>
    <row r="5258" spans="1:6" x14ac:dyDescent="0.25">
      <c r="A5258">
        <v>30229627</v>
      </c>
      <c r="B5258" t="s">
        <v>5330</v>
      </c>
      <c r="C5258" t="str">
        <f>""</f>
        <v/>
      </c>
      <c r="D5258" t="str">
        <f>"9789179290467"</f>
        <v>9789179290467</v>
      </c>
      <c r="E5258" t="s">
        <v>1004</v>
      </c>
      <c r="F5258" s="1">
        <v>44438</v>
      </c>
    </row>
    <row r="5259" spans="1:6" x14ac:dyDescent="0.25">
      <c r="A5259">
        <v>30231056</v>
      </c>
      <c r="B5259" t="s">
        <v>5331</v>
      </c>
      <c r="C5259" t="str">
        <f>""</f>
        <v/>
      </c>
      <c r="D5259" t="str">
        <f>"9789173932677"</f>
        <v>9789173932677</v>
      </c>
      <c r="E5259" t="s">
        <v>1004</v>
      </c>
      <c r="F5259" s="1">
        <v>40513</v>
      </c>
    </row>
    <row r="5260" spans="1:6" x14ac:dyDescent="0.25">
      <c r="A5260">
        <v>30239114</v>
      </c>
      <c r="B5260" t="s">
        <v>5332</v>
      </c>
      <c r="C5260" t="str">
        <f>""</f>
        <v/>
      </c>
      <c r="D5260" t="str">
        <f>"9789179293574"</f>
        <v>9789179293574</v>
      </c>
      <c r="E5260" t="s">
        <v>1004</v>
      </c>
      <c r="F5260" s="1">
        <v>44809</v>
      </c>
    </row>
    <row r="5261" spans="1:6" x14ac:dyDescent="0.25">
      <c r="A5261">
        <v>30253594</v>
      </c>
      <c r="B5261" t="s">
        <v>5333</v>
      </c>
      <c r="C5261" t="str">
        <f>"9781802077209"</f>
        <v>9781802077209</v>
      </c>
      <c r="D5261" t="str">
        <f>"9781802079012"</f>
        <v>9781802079012</v>
      </c>
      <c r="E5261" t="s">
        <v>1287</v>
      </c>
      <c r="F5261" s="1">
        <v>44927</v>
      </c>
    </row>
    <row r="5262" spans="1:6" x14ac:dyDescent="0.25">
      <c r="A5262">
        <v>30260167</v>
      </c>
      <c r="B5262" t="s">
        <v>5334</v>
      </c>
      <c r="C5262" t="str">
        <f>""</f>
        <v/>
      </c>
      <c r="D5262" t="str">
        <f>"9781800647657"</f>
        <v>9781800647657</v>
      </c>
      <c r="E5262" t="s">
        <v>580</v>
      </c>
      <c r="F5262" s="1">
        <v>44893</v>
      </c>
    </row>
    <row r="5263" spans="1:6" x14ac:dyDescent="0.25">
      <c r="A5263">
        <v>30275619</v>
      </c>
      <c r="B5263" t="s">
        <v>5335</v>
      </c>
      <c r="C5263" t="str">
        <f>""</f>
        <v/>
      </c>
      <c r="D5263" t="str">
        <f>"9781800643949"</f>
        <v>9781800643949</v>
      </c>
      <c r="E5263" t="s">
        <v>580</v>
      </c>
      <c r="F5263" s="1">
        <v>44895</v>
      </c>
    </row>
    <row r="5264" spans="1:6" x14ac:dyDescent="0.25">
      <c r="A5264">
        <v>30275620</v>
      </c>
      <c r="B5264" t="s">
        <v>5336</v>
      </c>
      <c r="C5264" t="str">
        <f>""</f>
        <v/>
      </c>
      <c r="D5264" t="str">
        <f>"9789048553570"</f>
        <v>9789048553570</v>
      </c>
      <c r="E5264" t="s">
        <v>59</v>
      </c>
      <c r="F5264" s="1">
        <v>44833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Ebook Central Open Access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Esen Dagdelen</dc:creator>
  <cp:lastModifiedBy>Ömer BÜYÜKÇINAR</cp:lastModifiedBy>
  <dcterms:created xsi:type="dcterms:W3CDTF">2023-01-09T08:08:28Z</dcterms:created>
  <dcterms:modified xsi:type="dcterms:W3CDTF">2023-01-09T09:46:21Z</dcterms:modified>
</cp:coreProperties>
</file>